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ess share\SAJT\maticne knjige prepis\"/>
    </mc:Choice>
  </mc:AlternateContent>
  <bookViews>
    <workbookView xWindow="0" yWindow="0" windowWidth="20490" windowHeight="7020" tabRatio="597" firstSheet="3" activeTab="3"/>
  </bookViews>
  <sheets>
    <sheet name="Преглед" sheetId="6" state="hidden" r:id="rId1"/>
    <sheet name="База" sheetId="1" state="hidden" r:id="rId2"/>
    <sheet name="Summary 28.02.2017." sheetId="9" state="hidden" r:id="rId3"/>
    <sheet name="Приказ по ЈЛС" sheetId="50" r:id="rId4"/>
    <sheet name="Укупни приказ" sheetId="48" r:id="rId5"/>
  </sheets>
  <definedNames>
    <definedName name="_xlnm._FilterDatabase" localSheetId="1" hidden="1">База!$A$1:$BF$177</definedName>
    <definedName name="_xlnm._FilterDatabase" localSheetId="0" hidden="1">Преглед!$B$100:$H$119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2" i="1" l="1"/>
  <c r="AB3" i="1"/>
  <c r="C33" i="6" l="1"/>
  <c r="D33" i="6"/>
  <c r="E33" i="6"/>
  <c r="F33" i="6"/>
  <c r="G33" i="6"/>
  <c r="H33" i="6"/>
  <c r="C36" i="6"/>
  <c r="D36" i="6"/>
  <c r="E36" i="6"/>
  <c r="F36" i="6"/>
  <c r="G36" i="6"/>
  <c r="H36" i="6"/>
  <c r="G55" i="6" l="1"/>
  <c r="S58" i="1" l="1"/>
  <c r="G58" i="1" s="1"/>
  <c r="T58" i="1"/>
  <c r="H58" i="1" s="1"/>
  <c r="X58" i="1"/>
  <c r="AA58" i="1"/>
  <c r="AD58" i="1"/>
  <c r="AE58" i="1"/>
  <c r="AF58" i="1"/>
  <c r="AL58" i="1"/>
  <c r="AS58" i="1"/>
  <c r="AG58" i="1" l="1"/>
  <c r="AV58" i="1"/>
  <c r="AU58" i="1"/>
  <c r="U58" i="1"/>
  <c r="AW58" i="1" s="1"/>
  <c r="O58" i="1"/>
  <c r="Q58" i="1" s="1"/>
  <c r="K58" i="1"/>
  <c r="AM58" i="1"/>
  <c r="AN58" i="1" s="1"/>
  <c r="K8" i="50" l="1"/>
  <c r="L8" i="50"/>
  <c r="K9" i="50"/>
  <c r="L9" i="50"/>
  <c r="K10" i="50"/>
  <c r="L10" i="50"/>
  <c r="K11" i="50"/>
  <c r="L11" i="50"/>
  <c r="K12" i="50"/>
  <c r="L12" i="50"/>
  <c r="K13" i="50"/>
  <c r="L13" i="50"/>
  <c r="K14" i="50"/>
  <c r="L14" i="50"/>
  <c r="K15" i="50"/>
  <c r="L15" i="50"/>
  <c r="K16" i="50"/>
  <c r="L16" i="50"/>
  <c r="K17" i="50"/>
  <c r="L17" i="50"/>
  <c r="K18" i="50"/>
  <c r="L18" i="50"/>
  <c r="K19" i="50"/>
  <c r="L19" i="50"/>
  <c r="K20" i="50"/>
  <c r="L20" i="50"/>
  <c r="K21" i="50"/>
  <c r="L21" i="50"/>
  <c r="K22" i="50"/>
  <c r="L22" i="50"/>
  <c r="K23" i="50"/>
  <c r="L23" i="50"/>
  <c r="K24" i="50"/>
  <c r="L24" i="50"/>
  <c r="K25" i="50"/>
  <c r="L25" i="50"/>
  <c r="K26" i="50"/>
  <c r="L26" i="50"/>
  <c r="K27" i="50"/>
  <c r="L27" i="50"/>
  <c r="K28" i="50"/>
  <c r="L28" i="50"/>
  <c r="K29" i="50"/>
  <c r="L29" i="50"/>
  <c r="K30" i="50"/>
  <c r="L30" i="50"/>
  <c r="K31" i="50"/>
  <c r="L31" i="50"/>
  <c r="K32" i="50"/>
  <c r="L32" i="50"/>
  <c r="K33" i="50"/>
  <c r="L33" i="50"/>
  <c r="K34" i="50"/>
  <c r="L34" i="50"/>
  <c r="K35" i="50"/>
  <c r="L35" i="50"/>
  <c r="K36" i="50"/>
  <c r="L36" i="50"/>
  <c r="K37" i="50"/>
  <c r="L37" i="50"/>
  <c r="K38" i="50"/>
  <c r="L38" i="50"/>
  <c r="K39" i="50"/>
  <c r="L39" i="50"/>
  <c r="K40" i="50"/>
  <c r="L40" i="50"/>
  <c r="K41" i="50"/>
  <c r="L41" i="50"/>
  <c r="K42" i="50"/>
  <c r="L42" i="50"/>
  <c r="K43" i="50"/>
  <c r="L43" i="50"/>
  <c r="K44" i="50"/>
  <c r="L44" i="50"/>
  <c r="K45" i="50"/>
  <c r="L45" i="50"/>
  <c r="K46" i="50"/>
  <c r="L46" i="50"/>
  <c r="K47" i="50"/>
  <c r="L47" i="50"/>
  <c r="K48" i="50"/>
  <c r="L48" i="50"/>
  <c r="K49" i="50"/>
  <c r="L49" i="50"/>
  <c r="K50" i="50"/>
  <c r="L50" i="50"/>
  <c r="K51" i="50"/>
  <c r="L51" i="50"/>
  <c r="K52" i="50"/>
  <c r="L52" i="50"/>
  <c r="K53" i="50"/>
  <c r="L53" i="50"/>
  <c r="K54" i="50"/>
  <c r="L54" i="50"/>
  <c r="K55" i="50"/>
  <c r="L55" i="50"/>
  <c r="K56" i="50"/>
  <c r="L56" i="50"/>
  <c r="K57" i="50"/>
  <c r="L57" i="50"/>
  <c r="K58" i="50"/>
  <c r="L58" i="50"/>
  <c r="K59" i="50"/>
  <c r="L59" i="50"/>
  <c r="K60" i="50"/>
  <c r="L60" i="50"/>
  <c r="K61" i="50"/>
  <c r="L61"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K97" i="50"/>
  <c r="L97" i="50"/>
  <c r="K98" i="50"/>
  <c r="L98" i="50"/>
  <c r="K99" i="50"/>
  <c r="L99" i="50"/>
  <c r="K100" i="50"/>
  <c r="L100" i="50"/>
  <c r="K101" i="50"/>
  <c r="L101" i="50"/>
  <c r="K102" i="50"/>
  <c r="L102" i="50"/>
  <c r="K103" i="50"/>
  <c r="L103" i="50"/>
  <c r="K104" i="50"/>
  <c r="L104" i="50"/>
  <c r="K105" i="50"/>
  <c r="L105" i="50"/>
  <c r="K106" i="50"/>
  <c r="L106" i="50"/>
  <c r="K107" i="50"/>
  <c r="L107" i="50"/>
  <c r="K108" i="50"/>
  <c r="L108" i="50"/>
  <c r="K109" i="50"/>
  <c r="L109" i="50"/>
  <c r="K110" i="50"/>
  <c r="L110" i="50"/>
  <c r="K111" i="50"/>
  <c r="L111" i="50"/>
  <c r="K112" i="50"/>
  <c r="L112" i="50"/>
  <c r="K113" i="50"/>
  <c r="L113" i="50"/>
  <c r="K114" i="50"/>
  <c r="L114" i="50"/>
  <c r="K115" i="50"/>
  <c r="L115" i="50"/>
  <c r="K116" i="50"/>
  <c r="L116" i="50"/>
  <c r="K117" i="50"/>
  <c r="L117" i="50"/>
  <c r="K118" i="50"/>
  <c r="L118" i="50"/>
  <c r="K119" i="50"/>
  <c r="L119" i="50"/>
  <c r="K120" i="50"/>
  <c r="L120" i="50"/>
  <c r="K121" i="50"/>
  <c r="L121" i="50"/>
  <c r="K122" i="50"/>
  <c r="L122" i="50"/>
  <c r="K123" i="50"/>
  <c r="L123" i="50"/>
  <c r="K124" i="50"/>
  <c r="L124" i="50"/>
  <c r="K125" i="50"/>
  <c r="L125" i="50"/>
  <c r="K126" i="50"/>
  <c r="L126" i="50"/>
  <c r="K127" i="50"/>
  <c r="L127" i="50"/>
  <c r="K128" i="50"/>
  <c r="L128" i="50"/>
  <c r="K129" i="50"/>
  <c r="L129" i="50"/>
  <c r="K130" i="50"/>
  <c r="L130" i="50"/>
  <c r="K131" i="50"/>
  <c r="L131" i="50"/>
  <c r="K132" i="50"/>
  <c r="L132" i="50"/>
  <c r="K133" i="50"/>
  <c r="L133" i="50"/>
  <c r="K134" i="50"/>
  <c r="L134" i="50"/>
  <c r="K135" i="50"/>
  <c r="L135" i="50"/>
  <c r="K136" i="50"/>
  <c r="L136" i="50"/>
  <c r="K137" i="50"/>
  <c r="L137" i="50"/>
  <c r="K138" i="50"/>
  <c r="L138" i="50"/>
  <c r="K139" i="50"/>
  <c r="L139" i="50"/>
  <c r="K140" i="50"/>
  <c r="L140" i="50"/>
  <c r="K141" i="50"/>
  <c r="L141" i="50"/>
  <c r="K142" i="50"/>
  <c r="L142" i="50"/>
  <c r="K143" i="50"/>
  <c r="L143" i="50"/>
  <c r="K144" i="50"/>
  <c r="L144" i="50"/>
  <c r="K145" i="50"/>
  <c r="L145" i="50"/>
  <c r="K146" i="50"/>
  <c r="L146" i="50"/>
  <c r="K147" i="50"/>
  <c r="L147" i="50"/>
  <c r="K148" i="50"/>
  <c r="L148" i="50"/>
  <c r="K149" i="50"/>
  <c r="L149" i="50"/>
  <c r="K150" i="50"/>
  <c r="L150" i="50"/>
  <c r="K151" i="50"/>
  <c r="L151" i="50"/>
  <c r="K152" i="50"/>
  <c r="L152" i="50"/>
  <c r="K153" i="50"/>
  <c r="L153" i="50"/>
  <c r="K154" i="50"/>
  <c r="L154" i="50"/>
  <c r="K155" i="50"/>
  <c r="L155" i="50"/>
  <c r="K156" i="50"/>
  <c r="L156" i="50"/>
  <c r="K157" i="50"/>
  <c r="L157" i="50"/>
  <c r="K158" i="50"/>
  <c r="L158" i="50"/>
  <c r="K159" i="50"/>
  <c r="L159" i="50"/>
  <c r="K160" i="50"/>
  <c r="L160" i="50"/>
  <c r="K161" i="50"/>
  <c r="L161" i="50"/>
  <c r="K162" i="50"/>
  <c r="L162" i="50"/>
  <c r="K163" i="50"/>
  <c r="L163" i="50"/>
  <c r="K164" i="50"/>
  <c r="L164" i="50"/>
  <c r="K165" i="50"/>
  <c r="L165" i="50"/>
  <c r="K166" i="50"/>
  <c r="L166" i="50"/>
  <c r="K167" i="50"/>
  <c r="L167" i="50"/>
  <c r="K168" i="50"/>
  <c r="L168" i="50"/>
  <c r="K169" i="50"/>
  <c r="L169" i="50"/>
  <c r="K170" i="50"/>
  <c r="L170" i="50"/>
  <c r="K171" i="50"/>
  <c r="L171" i="50"/>
  <c r="K172" i="50"/>
  <c r="L172" i="50"/>
  <c r="K173" i="50"/>
  <c r="L173" i="50"/>
  <c r="K174" i="50"/>
  <c r="L174" i="50"/>
  <c r="K175" i="50"/>
  <c r="L175" i="50"/>
  <c r="K176" i="50"/>
  <c r="L176" i="50"/>
  <c r="K177" i="50"/>
  <c r="L177" i="50"/>
  <c r="K178" i="50"/>
  <c r="L178" i="50"/>
  <c r="K179" i="50"/>
  <c r="L179" i="50"/>
  <c r="K180" i="50"/>
  <c r="L180" i="50"/>
  <c r="K181" i="50"/>
  <c r="L181" i="50"/>
  <c r="F119" i="6" l="1"/>
  <c r="F96" i="6"/>
  <c r="E67" i="6"/>
  <c r="AF5" i="1" l="1"/>
  <c r="AL5" i="1"/>
  <c r="AS5" i="1"/>
  <c r="AV45" i="1" l="1"/>
  <c r="AU45" i="1"/>
  <c r="AS30" i="1"/>
  <c r="AS134" i="1"/>
  <c r="AS174" i="1"/>
  <c r="AS173" i="1"/>
  <c r="AS177" i="1"/>
  <c r="AS105" i="1"/>
  <c r="AS146" i="1"/>
  <c r="AS176" i="1"/>
  <c r="AS175" i="1"/>
  <c r="AS172" i="1"/>
  <c r="AS34" i="1"/>
  <c r="AS48" i="1"/>
  <c r="AS137" i="1"/>
  <c r="AS150" i="1"/>
  <c r="AS81" i="1"/>
  <c r="AS102" i="1"/>
  <c r="AS144" i="1"/>
  <c r="AS35" i="1"/>
  <c r="AS65" i="1"/>
  <c r="AS127" i="1"/>
  <c r="AS147" i="1"/>
  <c r="AS39" i="1"/>
  <c r="AS171" i="1"/>
  <c r="AS99" i="1"/>
  <c r="AS132" i="1"/>
  <c r="AS79" i="1"/>
  <c r="AS109" i="1"/>
  <c r="AS29" i="1"/>
  <c r="AS170" i="1"/>
  <c r="AS66" i="1"/>
  <c r="AS61" i="1"/>
  <c r="AS128" i="1"/>
  <c r="AS7" i="1"/>
  <c r="AS159" i="1"/>
  <c r="AS169" i="1"/>
  <c r="AS115" i="1"/>
  <c r="AS86" i="1"/>
  <c r="AS51" i="1"/>
  <c r="AS41" i="1"/>
  <c r="AS43" i="1"/>
  <c r="AS17" i="1"/>
  <c r="AS38" i="1"/>
  <c r="AS113" i="1"/>
  <c r="AS168" i="1"/>
  <c r="AS88" i="1"/>
  <c r="AS57" i="1"/>
  <c r="AS97" i="1"/>
  <c r="AS23" i="1"/>
  <c r="AS4" i="1"/>
  <c r="AS21" i="1"/>
  <c r="AS14" i="1"/>
  <c r="AS161" i="1"/>
  <c r="AS133" i="1"/>
  <c r="AS162" i="1"/>
  <c r="AS31" i="1"/>
  <c r="AS55" i="1"/>
  <c r="AS100" i="1"/>
  <c r="AS37" i="1"/>
  <c r="AS118" i="1"/>
  <c r="AS54" i="1"/>
  <c r="AS22" i="1"/>
  <c r="AS42" i="1"/>
  <c r="AS46" i="1"/>
  <c r="AS142" i="1"/>
  <c r="AS49" i="1"/>
  <c r="AS9" i="1"/>
  <c r="AS167" i="1"/>
  <c r="AS164" i="1"/>
  <c r="AS160" i="1"/>
  <c r="AS166" i="1"/>
  <c r="AS155" i="1"/>
  <c r="AS165" i="1"/>
  <c r="AS151" i="1"/>
  <c r="AS163" i="1"/>
  <c r="AS154" i="1"/>
  <c r="AS139" i="1"/>
  <c r="AS156" i="1"/>
  <c r="AS145" i="1"/>
  <c r="AS149" i="1"/>
  <c r="AS135" i="1"/>
  <c r="AS153" i="1"/>
  <c r="AS140" i="1"/>
  <c r="AS108" i="1"/>
  <c r="AS143" i="1"/>
  <c r="AS152" i="1"/>
  <c r="AS123" i="1"/>
  <c r="AS130" i="1"/>
  <c r="AS136" i="1"/>
  <c r="AS148" i="1"/>
  <c r="AS138" i="1"/>
  <c r="AS103" i="1"/>
  <c r="AS131" i="1"/>
  <c r="AS110" i="1"/>
  <c r="AS106" i="1"/>
  <c r="AS141" i="1"/>
  <c r="AS120" i="1"/>
  <c r="AS104" i="1"/>
  <c r="AS114" i="1"/>
  <c r="AS122" i="1"/>
  <c r="AS116" i="1"/>
  <c r="AS96" i="1"/>
  <c r="AS107" i="1"/>
  <c r="AS98" i="1"/>
  <c r="AS124" i="1"/>
  <c r="AS84" i="1"/>
  <c r="AS117" i="1"/>
  <c r="AS95" i="1"/>
  <c r="AS78" i="1"/>
  <c r="AS157" i="1"/>
  <c r="AS158" i="1"/>
  <c r="AS119" i="1"/>
  <c r="AS92" i="1"/>
  <c r="AS112" i="1"/>
  <c r="AS129" i="1"/>
  <c r="AS101" i="1"/>
  <c r="AS89" i="1"/>
  <c r="AS111" i="1"/>
  <c r="AS126" i="1"/>
  <c r="AS93" i="1"/>
  <c r="AS125" i="1"/>
  <c r="AS94" i="1"/>
  <c r="AS82" i="1"/>
  <c r="AS83" i="1"/>
  <c r="AS77" i="1"/>
  <c r="AS87" i="1"/>
  <c r="AS121" i="1"/>
  <c r="AS64" i="1"/>
  <c r="AS75" i="1"/>
  <c r="AS73" i="1"/>
  <c r="AS63" i="1"/>
  <c r="AS70" i="1"/>
  <c r="AS72" i="1"/>
  <c r="AS56" i="1"/>
  <c r="AS85" i="1"/>
  <c r="AS68" i="1"/>
  <c r="AS74" i="1"/>
  <c r="AS76" i="1"/>
  <c r="AS91" i="1"/>
  <c r="AS62" i="1"/>
  <c r="AS90" i="1"/>
  <c r="AS80" i="1"/>
  <c r="AS47" i="1"/>
  <c r="AS67" i="1"/>
  <c r="AS53" i="1"/>
  <c r="AS69" i="1"/>
  <c r="AS59" i="1"/>
  <c r="AS50" i="1"/>
  <c r="AS52" i="1"/>
  <c r="AS28" i="1"/>
  <c r="AS44" i="1"/>
  <c r="AS45" i="1"/>
  <c r="AS27" i="1"/>
  <c r="AS26" i="1"/>
  <c r="AS60" i="1"/>
  <c r="AS32" i="1"/>
  <c r="AS24" i="1"/>
  <c r="AS25" i="1"/>
  <c r="AS40" i="1"/>
  <c r="AS71" i="1"/>
  <c r="AS33" i="1"/>
  <c r="AS15" i="1"/>
  <c r="AS18" i="1"/>
  <c r="AS16" i="1"/>
  <c r="AS13" i="1"/>
  <c r="AS12" i="1"/>
  <c r="AS6" i="1"/>
  <c r="AS19" i="1"/>
  <c r="AS36" i="1"/>
  <c r="AS20" i="1"/>
  <c r="AS8" i="1"/>
  <c r="AS10" i="1"/>
  <c r="AS11" i="1"/>
  <c r="H45" i="1" l="1"/>
  <c r="G45" i="1"/>
  <c r="AF11" i="1"/>
  <c r="AF10" i="1"/>
  <c r="AF8" i="1"/>
  <c r="AF20" i="1"/>
  <c r="AF36" i="1"/>
  <c r="AF19" i="1"/>
  <c r="AF6" i="1"/>
  <c r="AF12" i="1"/>
  <c r="AF13" i="1"/>
  <c r="AF16" i="1"/>
  <c r="AF18" i="1"/>
  <c r="AF15" i="1"/>
  <c r="AF33" i="1"/>
  <c r="AF71" i="1"/>
  <c r="AF40" i="1"/>
  <c r="AF25" i="1"/>
  <c r="AF24" i="1"/>
  <c r="AF32" i="1"/>
  <c r="AF60" i="1"/>
  <c r="AF26" i="1"/>
  <c r="AF27" i="1"/>
  <c r="AF45" i="1"/>
  <c r="AF44" i="1"/>
  <c r="AF28" i="1"/>
  <c r="AF52" i="1"/>
  <c r="AF50" i="1"/>
  <c r="AF59" i="1"/>
  <c r="AF69" i="1"/>
  <c r="AF53" i="1"/>
  <c r="AF67" i="1"/>
  <c r="AF47" i="1"/>
  <c r="AF80" i="1"/>
  <c r="AF90" i="1"/>
  <c r="AF62" i="1"/>
  <c r="AF91" i="1"/>
  <c r="AF76" i="1"/>
  <c r="AF74" i="1"/>
  <c r="AF68" i="1"/>
  <c r="AF85" i="1"/>
  <c r="AF56" i="1"/>
  <c r="AF72" i="1"/>
  <c r="AF70" i="1"/>
  <c r="AF63" i="1"/>
  <c r="AF73" i="1"/>
  <c r="AF75" i="1"/>
  <c r="AF64" i="1"/>
  <c r="AF121" i="1"/>
  <c r="AF87" i="1"/>
  <c r="AF77" i="1"/>
  <c r="AF83" i="1"/>
  <c r="AF82" i="1"/>
  <c r="AF94" i="1"/>
  <c r="AF125" i="1"/>
  <c r="AF93" i="1"/>
  <c r="AF126" i="1"/>
  <c r="AF111" i="1"/>
  <c r="AF89" i="1"/>
  <c r="AF101" i="1"/>
  <c r="AF129" i="1"/>
  <c r="AF112" i="1"/>
  <c r="AF92" i="1"/>
  <c r="AF119" i="1"/>
  <c r="AF158" i="1"/>
  <c r="AF157" i="1"/>
  <c r="AF78" i="1"/>
  <c r="AF95" i="1"/>
  <c r="AF117" i="1"/>
  <c r="AF84" i="1"/>
  <c r="AF124" i="1"/>
  <c r="AF98" i="1"/>
  <c r="AF107" i="1"/>
  <c r="AF116" i="1"/>
  <c r="AF122" i="1"/>
  <c r="AF114" i="1"/>
  <c r="AF104" i="1"/>
  <c r="AF120" i="1"/>
  <c r="AF141" i="1"/>
  <c r="AF106" i="1"/>
  <c r="AF110" i="1"/>
  <c r="AF131" i="1"/>
  <c r="AF103" i="1"/>
  <c r="AF138" i="1"/>
  <c r="AF148" i="1"/>
  <c r="AF136" i="1"/>
  <c r="AF130" i="1"/>
  <c r="AF123" i="1"/>
  <c r="AF152" i="1"/>
  <c r="AF143" i="1"/>
  <c r="AF108" i="1"/>
  <c r="AF140" i="1"/>
  <c r="AF153" i="1"/>
  <c r="AF135" i="1"/>
  <c r="AF149" i="1"/>
  <c r="AF145" i="1"/>
  <c r="AF156" i="1"/>
  <c r="AF139" i="1"/>
  <c r="AF154" i="1"/>
  <c r="AF163" i="1"/>
  <c r="AF151" i="1"/>
  <c r="AF165" i="1"/>
  <c r="AF155" i="1"/>
  <c r="AF166" i="1"/>
  <c r="AF160" i="1"/>
  <c r="AF164" i="1"/>
  <c r="AF167" i="1"/>
  <c r="AF9" i="1"/>
  <c r="AF49" i="1"/>
  <c r="AF142" i="1"/>
  <c r="AF46" i="1"/>
  <c r="AF42" i="1"/>
  <c r="AF22" i="1"/>
  <c r="AF54" i="1"/>
  <c r="AF118" i="1"/>
  <c r="AF37" i="1"/>
  <c r="AF100" i="1"/>
  <c r="AF55" i="1"/>
  <c r="AF31" i="1"/>
  <c r="AF162" i="1"/>
  <c r="AF133" i="1"/>
  <c r="AF161" i="1"/>
  <c r="AF14" i="1"/>
  <c r="AF21" i="1"/>
  <c r="AF4" i="1"/>
  <c r="AF23" i="1"/>
  <c r="AF97" i="1"/>
  <c r="AF57" i="1"/>
  <c r="AF88" i="1"/>
  <c r="AF168" i="1"/>
  <c r="AF113" i="1"/>
  <c r="AF38" i="1"/>
  <c r="AF17" i="1"/>
  <c r="AF43" i="1"/>
  <c r="AF41" i="1"/>
  <c r="AF51" i="1"/>
  <c r="AF86" i="1"/>
  <c r="AF115" i="1"/>
  <c r="AF169" i="1"/>
  <c r="AF159" i="1"/>
  <c r="AF7" i="1"/>
  <c r="AF128" i="1"/>
  <c r="AF61" i="1"/>
  <c r="AF66" i="1"/>
  <c r="AF170" i="1"/>
  <c r="AF29" i="1"/>
  <c r="AF109" i="1"/>
  <c r="AF79" i="1"/>
  <c r="AF132" i="1"/>
  <c r="AF99" i="1"/>
  <c r="AF171" i="1"/>
  <c r="AF39" i="1"/>
  <c r="AF147" i="1"/>
  <c r="AF127" i="1"/>
  <c r="AF65" i="1"/>
  <c r="AF35" i="1"/>
  <c r="AF144" i="1"/>
  <c r="AF102" i="1"/>
  <c r="AF81" i="1"/>
  <c r="AF150" i="1"/>
  <c r="AF137" i="1"/>
  <c r="AF48" i="1"/>
  <c r="AF34" i="1"/>
  <c r="AF172" i="1"/>
  <c r="AF175" i="1"/>
  <c r="AF176" i="1"/>
  <c r="AF146" i="1"/>
  <c r="AF105" i="1"/>
  <c r="AF177" i="1"/>
  <c r="AF173" i="1"/>
  <c r="AF174" i="1"/>
  <c r="AF134" i="1"/>
  <c r="AF30" i="1"/>
  <c r="AF96" i="1"/>
  <c r="X143" i="1"/>
  <c r="T120" i="1"/>
  <c r="G119" i="6" l="1"/>
  <c r="K45" i="1"/>
  <c r="G117" i="6"/>
  <c r="G118" i="6"/>
  <c r="G116" i="6"/>
  <c r="H120" i="1"/>
  <c r="AV120" i="1"/>
  <c r="T11" i="1"/>
  <c r="T10" i="1"/>
  <c r="T8" i="1"/>
  <c r="T20" i="1"/>
  <c r="T36" i="1"/>
  <c r="T19" i="1"/>
  <c r="T6" i="1"/>
  <c r="T12" i="1"/>
  <c r="T13" i="1"/>
  <c r="T16" i="1"/>
  <c r="T18" i="1"/>
  <c r="T15" i="1"/>
  <c r="T33" i="1"/>
  <c r="T71" i="1"/>
  <c r="T40" i="1"/>
  <c r="T25" i="1"/>
  <c r="T24" i="1"/>
  <c r="T32" i="1"/>
  <c r="T60" i="1"/>
  <c r="T26" i="1"/>
  <c r="T27" i="1"/>
  <c r="T44" i="1"/>
  <c r="T28" i="1"/>
  <c r="T52" i="1"/>
  <c r="T50" i="1"/>
  <c r="T59" i="1"/>
  <c r="T69" i="1"/>
  <c r="T53" i="1"/>
  <c r="T67" i="1"/>
  <c r="T47" i="1"/>
  <c r="T80" i="1"/>
  <c r="T90" i="1"/>
  <c r="T62" i="1"/>
  <c r="T91" i="1"/>
  <c r="T76" i="1"/>
  <c r="T74" i="1"/>
  <c r="T68" i="1"/>
  <c r="T85" i="1"/>
  <c r="T56" i="1"/>
  <c r="T72" i="1"/>
  <c r="T70" i="1"/>
  <c r="T63" i="1"/>
  <c r="T73" i="1"/>
  <c r="T75" i="1"/>
  <c r="T64" i="1"/>
  <c r="T121" i="1"/>
  <c r="T87" i="1"/>
  <c r="T77" i="1"/>
  <c r="T83" i="1"/>
  <c r="T82" i="1"/>
  <c r="T94" i="1"/>
  <c r="T125" i="1"/>
  <c r="T93" i="1"/>
  <c r="T126" i="1"/>
  <c r="T111" i="1"/>
  <c r="T89" i="1"/>
  <c r="T101" i="1"/>
  <c r="T129" i="1"/>
  <c r="T112" i="1"/>
  <c r="T92" i="1"/>
  <c r="T119" i="1"/>
  <c r="T158" i="1"/>
  <c r="T157" i="1"/>
  <c r="T78" i="1"/>
  <c r="T95" i="1"/>
  <c r="T117" i="1"/>
  <c r="T84" i="1"/>
  <c r="T124" i="1"/>
  <c r="T98" i="1"/>
  <c r="T107" i="1"/>
  <c r="T96" i="1"/>
  <c r="T116" i="1"/>
  <c r="T122" i="1"/>
  <c r="T114" i="1"/>
  <c r="T104" i="1"/>
  <c r="T141" i="1"/>
  <c r="T106" i="1"/>
  <c r="T110" i="1"/>
  <c r="T131" i="1"/>
  <c r="T103" i="1"/>
  <c r="T138" i="1"/>
  <c r="T148" i="1"/>
  <c r="T136" i="1"/>
  <c r="T130" i="1"/>
  <c r="T123" i="1"/>
  <c r="T152" i="1"/>
  <c r="T143" i="1"/>
  <c r="T108" i="1"/>
  <c r="T140" i="1"/>
  <c r="T153" i="1"/>
  <c r="T135" i="1"/>
  <c r="T149" i="1"/>
  <c r="T145" i="1"/>
  <c r="T156" i="1"/>
  <c r="T139" i="1"/>
  <c r="T154" i="1"/>
  <c r="T163" i="1"/>
  <c r="T151" i="1"/>
  <c r="T165" i="1"/>
  <c r="T155" i="1"/>
  <c r="T166" i="1"/>
  <c r="T160" i="1"/>
  <c r="T164" i="1"/>
  <c r="T167" i="1"/>
  <c r="T9" i="1"/>
  <c r="T49" i="1"/>
  <c r="T142" i="1"/>
  <c r="T46" i="1"/>
  <c r="T42" i="1"/>
  <c r="T22" i="1"/>
  <c r="T54" i="1"/>
  <c r="T118" i="1"/>
  <c r="T37" i="1"/>
  <c r="T100" i="1"/>
  <c r="T55" i="1"/>
  <c r="T31" i="1"/>
  <c r="T162" i="1"/>
  <c r="T133" i="1"/>
  <c r="T161" i="1"/>
  <c r="T14" i="1"/>
  <c r="T21" i="1"/>
  <c r="T4" i="1"/>
  <c r="T23" i="1"/>
  <c r="T97" i="1"/>
  <c r="T57" i="1"/>
  <c r="T88" i="1"/>
  <c r="T168" i="1"/>
  <c r="T113" i="1"/>
  <c r="T38" i="1"/>
  <c r="T17" i="1"/>
  <c r="T43" i="1"/>
  <c r="T41" i="1"/>
  <c r="T51" i="1"/>
  <c r="T86" i="1"/>
  <c r="T115" i="1"/>
  <c r="T169" i="1"/>
  <c r="T159" i="1"/>
  <c r="T7" i="1"/>
  <c r="T128" i="1"/>
  <c r="T61" i="1"/>
  <c r="T66" i="1"/>
  <c r="T170" i="1"/>
  <c r="T29" i="1"/>
  <c r="T109" i="1"/>
  <c r="T79" i="1"/>
  <c r="T132" i="1"/>
  <c r="T99" i="1"/>
  <c r="T171" i="1"/>
  <c r="T39" i="1"/>
  <c r="T147" i="1"/>
  <c r="T127" i="1"/>
  <c r="T65" i="1"/>
  <c r="T35" i="1"/>
  <c r="T144" i="1"/>
  <c r="T102" i="1"/>
  <c r="T81" i="1"/>
  <c r="T150" i="1"/>
  <c r="T137" i="1"/>
  <c r="T48" i="1"/>
  <c r="T34" i="1"/>
  <c r="T172" i="1"/>
  <c r="T175" i="1"/>
  <c r="T176" i="1"/>
  <c r="T146" i="1"/>
  <c r="T105" i="1"/>
  <c r="T177" i="1"/>
  <c r="T173" i="1"/>
  <c r="T174" i="1"/>
  <c r="T134" i="1"/>
  <c r="T30" i="1"/>
  <c r="T5" i="1"/>
  <c r="AV5" i="1" s="1"/>
  <c r="AA11" i="1"/>
  <c r="AA10" i="1"/>
  <c r="AA8" i="1"/>
  <c r="AA20" i="1"/>
  <c r="AA36" i="1"/>
  <c r="AA19" i="1"/>
  <c r="AA6" i="1"/>
  <c r="AA12" i="1"/>
  <c r="AA13" i="1"/>
  <c r="AA16" i="1"/>
  <c r="AA18" i="1"/>
  <c r="AA15" i="1"/>
  <c r="AA33" i="1"/>
  <c r="AA71" i="1"/>
  <c r="AA40" i="1"/>
  <c r="AA25" i="1"/>
  <c r="AA24" i="1"/>
  <c r="AA32" i="1"/>
  <c r="AA60" i="1"/>
  <c r="AA26" i="1"/>
  <c r="AA27" i="1"/>
  <c r="AA45" i="1"/>
  <c r="AA44" i="1"/>
  <c r="AA28" i="1"/>
  <c r="AA52" i="1"/>
  <c r="AA50" i="1"/>
  <c r="AA59" i="1"/>
  <c r="AA69" i="1"/>
  <c r="AA53" i="1"/>
  <c r="AA67" i="1"/>
  <c r="AA47" i="1"/>
  <c r="AA80" i="1"/>
  <c r="AA90" i="1"/>
  <c r="AA62" i="1"/>
  <c r="AA91" i="1"/>
  <c r="AA76" i="1"/>
  <c r="AA74" i="1"/>
  <c r="AA68" i="1"/>
  <c r="AA85" i="1"/>
  <c r="AA56" i="1"/>
  <c r="AA72" i="1"/>
  <c r="AA70" i="1"/>
  <c r="AA63" i="1"/>
  <c r="AA73" i="1"/>
  <c r="AA75" i="1"/>
  <c r="AA64" i="1"/>
  <c r="AA121" i="1"/>
  <c r="AA87" i="1"/>
  <c r="AA77" i="1"/>
  <c r="AA83" i="1"/>
  <c r="AA82" i="1"/>
  <c r="AA94" i="1"/>
  <c r="AA125" i="1"/>
  <c r="AA93" i="1"/>
  <c r="AA126" i="1"/>
  <c r="AA111" i="1"/>
  <c r="AA89" i="1"/>
  <c r="AA101" i="1"/>
  <c r="AA129" i="1"/>
  <c r="AA112" i="1"/>
  <c r="AA92" i="1"/>
  <c r="AA119" i="1"/>
  <c r="AA158" i="1"/>
  <c r="AA157" i="1"/>
  <c r="AA78" i="1"/>
  <c r="AA95" i="1"/>
  <c r="AA117" i="1"/>
  <c r="AA84" i="1"/>
  <c r="AA124" i="1"/>
  <c r="AA98" i="1"/>
  <c r="AA107" i="1"/>
  <c r="AA96" i="1"/>
  <c r="AA116" i="1"/>
  <c r="AA122" i="1"/>
  <c r="AA114" i="1"/>
  <c r="AA104" i="1"/>
  <c r="AA120" i="1"/>
  <c r="AA141" i="1"/>
  <c r="AA106" i="1"/>
  <c r="AA110" i="1"/>
  <c r="AA131" i="1"/>
  <c r="AA103" i="1"/>
  <c r="AA138" i="1"/>
  <c r="AA148" i="1"/>
  <c r="AA136" i="1"/>
  <c r="AA130" i="1"/>
  <c r="AA123" i="1"/>
  <c r="AA152" i="1"/>
  <c r="AA143" i="1"/>
  <c r="AA108" i="1"/>
  <c r="AA140" i="1"/>
  <c r="AA153" i="1"/>
  <c r="AA135" i="1"/>
  <c r="AA149" i="1"/>
  <c r="AA145" i="1"/>
  <c r="AA156" i="1"/>
  <c r="AA139" i="1"/>
  <c r="AA154" i="1"/>
  <c r="AA163" i="1"/>
  <c r="AA151" i="1"/>
  <c r="AA165" i="1"/>
  <c r="AA155" i="1"/>
  <c r="AA166" i="1"/>
  <c r="AA160" i="1"/>
  <c r="AA164" i="1"/>
  <c r="AA167" i="1"/>
  <c r="AA9" i="1"/>
  <c r="AA49" i="1"/>
  <c r="AA142" i="1"/>
  <c r="AA46" i="1"/>
  <c r="AA42" i="1"/>
  <c r="AA22" i="1"/>
  <c r="AA54" i="1"/>
  <c r="AA118" i="1"/>
  <c r="AA37" i="1"/>
  <c r="AA100" i="1"/>
  <c r="AA55" i="1"/>
  <c r="AA31" i="1"/>
  <c r="AA162" i="1"/>
  <c r="AA133" i="1"/>
  <c r="AA161" i="1"/>
  <c r="AA14" i="1"/>
  <c r="AA21" i="1"/>
  <c r="AA4" i="1"/>
  <c r="AA23" i="1"/>
  <c r="AA97" i="1"/>
  <c r="AA57" i="1"/>
  <c r="AA88" i="1"/>
  <c r="AA168" i="1"/>
  <c r="AA113" i="1"/>
  <c r="AA38" i="1"/>
  <c r="AA17" i="1"/>
  <c r="AA43" i="1"/>
  <c r="AA41" i="1"/>
  <c r="AA51" i="1"/>
  <c r="AA86" i="1"/>
  <c r="AA115" i="1"/>
  <c r="AA169" i="1"/>
  <c r="AA159" i="1"/>
  <c r="AA7" i="1"/>
  <c r="AA128" i="1"/>
  <c r="AA61" i="1"/>
  <c r="AA66" i="1"/>
  <c r="AA170" i="1"/>
  <c r="AA29" i="1"/>
  <c r="AA109" i="1"/>
  <c r="AA79" i="1"/>
  <c r="AA132" i="1"/>
  <c r="AA99" i="1"/>
  <c r="AA171" i="1"/>
  <c r="AA39" i="1"/>
  <c r="AA147" i="1"/>
  <c r="AA127" i="1"/>
  <c r="AA65" i="1"/>
  <c r="AA35" i="1"/>
  <c r="AA144" i="1"/>
  <c r="AA102" i="1"/>
  <c r="AA81" i="1"/>
  <c r="AA150" i="1"/>
  <c r="AA137" i="1"/>
  <c r="AA48" i="1"/>
  <c r="AA34" i="1"/>
  <c r="AA172" i="1"/>
  <c r="AA175" i="1"/>
  <c r="AA176" i="1"/>
  <c r="AA146" i="1"/>
  <c r="AA105" i="1"/>
  <c r="AA177" i="1"/>
  <c r="AA173" i="1"/>
  <c r="AA174" i="1"/>
  <c r="AA134" i="1"/>
  <c r="AA30" i="1"/>
  <c r="AA5" i="1"/>
  <c r="K120" i="1" l="1"/>
  <c r="E118" i="6"/>
  <c r="E116" i="6"/>
  <c r="H119" i="6"/>
  <c r="H116" i="6"/>
  <c r="H117" i="6"/>
  <c r="H118" i="6"/>
  <c r="E119" i="6"/>
  <c r="E117" i="6"/>
  <c r="G96" i="6"/>
  <c r="G92" i="6"/>
  <c r="H65" i="6"/>
  <c r="G93" i="6"/>
  <c r="G89" i="6"/>
  <c r="G90" i="6"/>
  <c r="G94" i="6"/>
  <c r="G91" i="6"/>
  <c r="G95" i="6"/>
  <c r="H61" i="6"/>
  <c r="H89" i="6"/>
  <c r="H94" i="6"/>
  <c r="H71" i="6"/>
  <c r="H70" i="6"/>
  <c r="H60" i="6"/>
  <c r="H63" i="6"/>
  <c r="H90" i="6"/>
  <c r="H69" i="6"/>
  <c r="H96" i="6"/>
  <c r="H59" i="6"/>
  <c r="H67" i="6"/>
  <c r="H92" i="6"/>
  <c r="H66" i="6"/>
  <c r="H91" i="6"/>
  <c r="H72" i="6"/>
  <c r="H95" i="6"/>
  <c r="H62" i="6"/>
  <c r="H64" i="6"/>
  <c r="H68" i="6"/>
  <c r="H93" i="6"/>
  <c r="E91" i="6"/>
  <c r="E92" i="6"/>
  <c r="E93" i="6"/>
  <c r="E94" i="6"/>
  <c r="E95" i="6"/>
  <c r="E96" i="6"/>
  <c r="E89" i="6"/>
  <c r="E90" i="6"/>
  <c r="H30" i="1"/>
  <c r="F178" i="50" s="1"/>
  <c r="AV30" i="1"/>
  <c r="H174" i="1"/>
  <c r="F177" i="50" s="1"/>
  <c r="AV174" i="1"/>
  <c r="H177" i="1"/>
  <c r="F181" i="50" s="1"/>
  <c r="AV177" i="1"/>
  <c r="H146" i="1"/>
  <c r="AV146" i="1"/>
  <c r="H175" i="1"/>
  <c r="F179" i="50" s="1"/>
  <c r="AV175" i="1"/>
  <c r="H34" i="1"/>
  <c r="AV34" i="1"/>
  <c r="H137" i="1"/>
  <c r="AV137" i="1"/>
  <c r="H81" i="1"/>
  <c r="AV81" i="1"/>
  <c r="H169" i="1"/>
  <c r="F169" i="50" s="1"/>
  <c r="AV169" i="1"/>
  <c r="H144" i="1"/>
  <c r="AV144" i="1"/>
  <c r="H65" i="1"/>
  <c r="AV65" i="1"/>
  <c r="H147" i="1"/>
  <c r="AV147" i="1"/>
  <c r="H171" i="1"/>
  <c r="F171" i="50" s="1"/>
  <c r="AV171" i="1"/>
  <c r="H132" i="1"/>
  <c r="AV132" i="1"/>
  <c r="H109" i="1"/>
  <c r="AV109" i="1"/>
  <c r="H170" i="1"/>
  <c r="F170" i="50" s="1"/>
  <c r="AV170" i="1"/>
  <c r="H61" i="1"/>
  <c r="AV61" i="1"/>
  <c r="H7" i="1"/>
  <c r="F10" i="50" s="1"/>
  <c r="AV7" i="1"/>
  <c r="H86" i="1"/>
  <c r="AV86" i="1"/>
  <c r="H41" i="1"/>
  <c r="AV41" i="1"/>
  <c r="H17" i="1"/>
  <c r="F20" i="50" s="1"/>
  <c r="AV17" i="1"/>
  <c r="H113" i="1"/>
  <c r="AV113" i="1"/>
  <c r="H88" i="1"/>
  <c r="AV88" i="1"/>
  <c r="H97" i="1"/>
  <c r="AV97" i="1"/>
  <c r="H4" i="1"/>
  <c r="AV4" i="1"/>
  <c r="H14" i="1"/>
  <c r="F17" i="50" s="1"/>
  <c r="AV14" i="1"/>
  <c r="H133" i="1"/>
  <c r="F166" i="50" s="1"/>
  <c r="AV133" i="1"/>
  <c r="H31" i="1"/>
  <c r="AV31" i="1"/>
  <c r="H100" i="1"/>
  <c r="AV100" i="1"/>
  <c r="H118" i="1"/>
  <c r="AV118" i="1"/>
  <c r="H22" i="1"/>
  <c r="AV22" i="1"/>
  <c r="H42" i="1"/>
  <c r="AV42" i="1"/>
  <c r="H142" i="1"/>
  <c r="AV142" i="1"/>
  <c r="H9" i="1"/>
  <c r="F12" i="50" s="1"/>
  <c r="AV9" i="1"/>
  <c r="H164" i="1"/>
  <c r="AV164" i="1"/>
  <c r="H166" i="1"/>
  <c r="AV166" i="1"/>
  <c r="H165" i="1"/>
  <c r="AV165" i="1"/>
  <c r="H163" i="1"/>
  <c r="AV163" i="1"/>
  <c r="H139" i="1"/>
  <c r="AV139" i="1"/>
  <c r="H145" i="1"/>
  <c r="AV145" i="1"/>
  <c r="H135" i="1"/>
  <c r="AV135" i="1"/>
  <c r="H140" i="1"/>
  <c r="AV140" i="1"/>
  <c r="H143" i="1"/>
  <c r="AV143" i="1"/>
  <c r="H123" i="1"/>
  <c r="AV123" i="1"/>
  <c r="H136" i="1"/>
  <c r="AV136" i="1"/>
  <c r="H138" i="1"/>
  <c r="AV138" i="1"/>
  <c r="H131" i="1"/>
  <c r="AV131" i="1"/>
  <c r="H106" i="1"/>
  <c r="AV106" i="1"/>
  <c r="H104" i="1"/>
  <c r="AV104" i="1"/>
  <c r="H122" i="1"/>
  <c r="AV122" i="1"/>
  <c r="H96" i="1"/>
  <c r="AV96" i="1"/>
  <c r="H98" i="1"/>
  <c r="AV98" i="1"/>
  <c r="H84" i="1"/>
  <c r="AV84" i="1"/>
  <c r="H95" i="1"/>
  <c r="AV95" i="1"/>
  <c r="H157" i="1"/>
  <c r="AV157" i="1"/>
  <c r="H119" i="1"/>
  <c r="AV119" i="1"/>
  <c r="H112" i="1"/>
  <c r="AV112" i="1"/>
  <c r="H101" i="1"/>
  <c r="AV101" i="1"/>
  <c r="H111" i="1"/>
  <c r="AV111" i="1"/>
  <c r="H93" i="1"/>
  <c r="AV93" i="1"/>
  <c r="H94" i="1"/>
  <c r="AV94" i="1"/>
  <c r="H83" i="1"/>
  <c r="AV83" i="1"/>
  <c r="H87" i="1"/>
  <c r="AV87" i="1"/>
  <c r="H64" i="1"/>
  <c r="AV64" i="1"/>
  <c r="H73" i="1"/>
  <c r="AV73" i="1"/>
  <c r="H70" i="1"/>
  <c r="AV70" i="1"/>
  <c r="H56" i="1"/>
  <c r="AV56" i="1"/>
  <c r="H68" i="1"/>
  <c r="AV68" i="1"/>
  <c r="H76" i="1"/>
  <c r="AV76" i="1"/>
  <c r="H62" i="1"/>
  <c r="AV62" i="1"/>
  <c r="H80" i="1"/>
  <c r="AV80" i="1"/>
  <c r="H67" i="1"/>
  <c r="AV67" i="1"/>
  <c r="H69" i="1"/>
  <c r="AV69" i="1"/>
  <c r="H50" i="1"/>
  <c r="AV50" i="1"/>
  <c r="H28" i="1"/>
  <c r="F30" i="50" s="1"/>
  <c r="AV28" i="1"/>
  <c r="H27" i="1"/>
  <c r="F29" i="50" s="1"/>
  <c r="AV27" i="1"/>
  <c r="H60" i="1"/>
  <c r="AV60" i="1"/>
  <c r="H24" i="1"/>
  <c r="F26" i="50" s="1"/>
  <c r="AV24" i="1"/>
  <c r="H40" i="1"/>
  <c r="AV40" i="1"/>
  <c r="H33" i="1"/>
  <c r="F32" i="50" s="1"/>
  <c r="AV33" i="1"/>
  <c r="H18" i="1"/>
  <c r="F21" i="50" s="1"/>
  <c r="AV18" i="1"/>
  <c r="H13" i="1"/>
  <c r="F16" i="50" s="1"/>
  <c r="AV13" i="1"/>
  <c r="H6" i="1"/>
  <c r="F9" i="50" s="1"/>
  <c r="AV6" i="1"/>
  <c r="H36" i="1"/>
  <c r="AV36" i="1"/>
  <c r="H8" i="1"/>
  <c r="F11" i="50" s="1"/>
  <c r="AV8" i="1"/>
  <c r="H11" i="1"/>
  <c r="F14" i="50" s="1"/>
  <c r="AV11" i="1"/>
  <c r="H134" i="1"/>
  <c r="F172" i="50" s="1"/>
  <c r="AV134" i="1"/>
  <c r="H173" i="1"/>
  <c r="F176" i="50" s="1"/>
  <c r="AV173" i="1"/>
  <c r="H105" i="1"/>
  <c r="F173" i="50" s="1"/>
  <c r="AV105" i="1"/>
  <c r="AV176" i="1"/>
  <c r="H172" i="1"/>
  <c r="AV172" i="1"/>
  <c r="H48" i="1"/>
  <c r="AV48" i="1"/>
  <c r="H150" i="1"/>
  <c r="AV150" i="1"/>
  <c r="H102" i="1"/>
  <c r="AV102" i="1"/>
  <c r="H35" i="1"/>
  <c r="AV35" i="1"/>
  <c r="H127" i="1"/>
  <c r="AV127" i="1"/>
  <c r="H39" i="1"/>
  <c r="AV39" i="1"/>
  <c r="H99" i="1"/>
  <c r="AV99" i="1"/>
  <c r="H79" i="1"/>
  <c r="AV79" i="1"/>
  <c r="H29" i="1"/>
  <c r="AV29" i="1"/>
  <c r="H66" i="1"/>
  <c r="AV66" i="1"/>
  <c r="H128" i="1"/>
  <c r="AV128" i="1"/>
  <c r="H159" i="1"/>
  <c r="AV159" i="1"/>
  <c r="H115" i="1"/>
  <c r="AV115" i="1"/>
  <c r="H51" i="1"/>
  <c r="AV51" i="1"/>
  <c r="H43" i="1"/>
  <c r="AV43" i="1"/>
  <c r="H38" i="1"/>
  <c r="AV38" i="1"/>
  <c r="H168" i="1"/>
  <c r="AV168" i="1"/>
  <c r="H57" i="1"/>
  <c r="AV57" i="1"/>
  <c r="H23" i="1"/>
  <c r="F25" i="50" s="1"/>
  <c r="AV23" i="1"/>
  <c r="H21" i="1"/>
  <c r="F24" i="50" s="1"/>
  <c r="AV21" i="1"/>
  <c r="H161" i="1"/>
  <c r="AV161" i="1"/>
  <c r="H162" i="1"/>
  <c r="AV162" i="1"/>
  <c r="H55" i="1"/>
  <c r="AV55" i="1"/>
  <c r="H37" i="1"/>
  <c r="AV37" i="1"/>
  <c r="H54" i="1"/>
  <c r="AV54" i="1"/>
  <c r="H46" i="1"/>
  <c r="AV46" i="1"/>
  <c r="H49" i="1"/>
  <c r="AV49" i="1"/>
  <c r="H167" i="1"/>
  <c r="AV167" i="1"/>
  <c r="H160" i="1"/>
  <c r="AV160" i="1"/>
  <c r="H155" i="1"/>
  <c r="AV155" i="1"/>
  <c r="H151" i="1"/>
  <c r="AV151" i="1"/>
  <c r="H154" i="1"/>
  <c r="AV154" i="1"/>
  <c r="H156" i="1"/>
  <c r="AV156" i="1"/>
  <c r="H149" i="1"/>
  <c r="AV149" i="1"/>
  <c r="H153" i="1"/>
  <c r="AV153" i="1"/>
  <c r="H108" i="1"/>
  <c r="AV108" i="1"/>
  <c r="H152" i="1"/>
  <c r="AV152" i="1"/>
  <c r="H130" i="1"/>
  <c r="AV130" i="1"/>
  <c r="H148" i="1"/>
  <c r="AV148" i="1"/>
  <c r="H103" i="1"/>
  <c r="AV103" i="1"/>
  <c r="H110" i="1"/>
  <c r="AV110" i="1"/>
  <c r="H141" i="1"/>
  <c r="AV141" i="1"/>
  <c r="H114" i="1"/>
  <c r="AV114" i="1"/>
  <c r="H116" i="1"/>
  <c r="AV116" i="1"/>
  <c r="H107" i="1"/>
  <c r="AV107" i="1"/>
  <c r="H124" i="1"/>
  <c r="AV124" i="1"/>
  <c r="H117" i="1"/>
  <c r="AV117" i="1"/>
  <c r="H78" i="1"/>
  <c r="AV78" i="1"/>
  <c r="H158" i="1"/>
  <c r="AV158" i="1"/>
  <c r="H92" i="1"/>
  <c r="AV92" i="1"/>
  <c r="H129" i="1"/>
  <c r="AV129" i="1"/>
  <c r="H89" i="1"/>
  <c r="AV89" i="1"/>
  <c r="H126" i="1"/>
  <c r="AV126" i="1"/>
  <c r="H125" i="1"/>
  <c r="AV125" i="1"/>
  <c r="H82" i="1"/>
  <c r="AV82" i="1"/>
  <c r="H77" i="1"/>
  <c r="AV77" i="1"/>
  <c r="H121" i="1"/>
  <c r="AV121" i="1"/>
  <c r="H75" i="1"/>
  <c r="AV75" i="1"/>
  <c r="H63" i="1"/>
  <c r="AV63" i="1"/>
  <c r="H72" i="1"/>
  <c r="AV72" i="1"/>
  <c r="H85" i="1"/>
  <c r="AV85" i="1"/>
  <c r="H74" i="1"/>
  <c r="AV74" i="1"/>
  <c r="H91" i="1"/>
  <c r="AV91" i="1"/>
  <c r="H90" i="1"/>
  <c r="AV90" i="1"/>
  <c r="H47" i="1"/>
  <c r="AV47" i="1"/>
  <c r="H53" i="1"/>
  <c r="AV53" i="1"/>
  <c r="H59" i="1"/>
  <c r="AV59" i="1"/>
  <c r="H52" i="1"/>
  <c r="AV52" i="1"/>
  <c r="H44" i="1"/>
  <c r="AV44" i="1"/>
  <c r="H26" i="1"/>
  <c r="F28" i="50" s="1"/>
  <c r="AV26" i="1"/>
  <c r="H32" i="1"/>
  <c r="AV32" i="1"/>
  <c r="H25" i="1"/>
  <c r="F27" i="50" s="1"/>
  <c r="AV25" i="1"/>
  <c r="H71" i="1"/>
  <c r="AV71" i="1"/>
  <c r="H15" i="1"/>
  <c r="F18" i="50" s="1"/>
  <c r="AV15" i="1"/>
  <c r="H16" i="1"/>
  <c r="F19" i="50" s="1"/>
  <c r="AV16" i="1"/>
  <c r="H12" i="1"/>
  <c r="F15" i="50" s="1"/>
  <c r="AV12" i="1"/>
  <c r="H19" i="1"/>
  <c r="F22" i="50" s="1"/>
  <c r="AV19" i="1"/>
  <c r="H20" i="1"/>
  <c r="F23" i="50" s="1"/>
  <c r="AV20" i="1"/>
  <c r="H10" i="1"/>
  <c r="F13" i="50" s="1"/>
  <c r="AV10" i="1"/>
  <c r="F126" i="50" l="1"/>
  <c r="F57" i="50"/>
  <c r="F146" i="50"/>
  <c r="F174" i="50"/>
  <c r="F151" i="50"/>
  <c r="F145" i="50"/>
  <c r="F107" i="50"/>
  <c r="F85" i="50"/>
  <c r="F133" i="50"/>
  <c r="F56" i="50"/>
  <c r="F154" i="50"/>
  <c r="F96" i="50"/>
  <c r="F118" i="50"/>
  <c r="F41" i="50"/>
  <c r="F140" i="50"/>
  <c r="F175" i="50"/>
  <c r="F88" i="50"/>
  <c r="F45" i="50"/>
  <c r="F39" i="50"/>
  <c r="F58" i="50"/>
  <c r="F78" i="50"/>
  <c r="F108" i="50"/>
  <c r="F127" i="50"/>
  <c r="F157" i="50"/>
  <c r="F91" i="50"/>
  <c r="F31" i="50"/>
  <c r="F67" i="50"/>
  <c r="F74" i="50"/>
  <c r="F54" i="50"/>
  <c r="F71" i="50"/>
  <c r="F92" i="50"/>
  <c r="F150" i="50"/>
  <c r="F82" i="50"/>
  <c r="F94" i="50"/>
  <c r="F101" i="50"/>
  <c r="F130" i="50"/>
  <c r="F137" i="50"/>
  <c r="F156" i="50"/>
  <c r="F136" i="50"/>
  <c r="F69" i="50"/>
  <c r="F162" i="50"/>
  <c r="F46" i="50"/>
  <c r="F89" i="50"/>
  <c r="F61" i="50"/>
  <c r="F117" i="50"/>
  <c r="F80" i="50"/>
  <c r="F122" i="50"/>
  <c r="F125" i="50"/>
  <c r="F113" i="50"/>
  <c r="F106" i="50"/>
  <c r="F141" i="50"/>
  <c r="F149" i="50"/>
  <c r="F144" i="50"/>
  <c r="F36" i="50"/>
  <c r="F49" i="50"/>
  <c r="F77" i="50"/>
  <c r="F34" i="50"/>
  <c r="F64" i="50"/>
  <c r="F60" i="50"/>
  <c r="F99" i="50"/>
  <c r="F102" i="50"/>
  <c r="F114" i="50"/>
  <c r="F128" i="50"/>
  <c r="F138" i="50"/>
  <c r="F87" i="50"/>
  <c r="F167" i="50"/>
  <c r="F164" i="50"/>
  <c r="F129" i="50"/>
  <c r="F43" i="50"/>
  <c r="F44" i="50"/>
  <c r="F83" i="50"/>
  <c r="F103" i="50"/>
  <c r="F110" i="50"/>
  <c r="F153" i="50"/>
  <c r="F47" i="50"/>
  <c r="F55" i="50"/>
  <c r="F37" i="50"/>
  <c r="F152" i="50"/>
  <c r="F38" i="50"/>
  <c r="F143" i="50"/>
  <c r="F35" i="50"/>
  <c r="F48" i="50"/>
  <c r="F65" i="50"/>
  <c r="F66" i="50"/>
  <c r="F68" i="50"/>
  <c r="F62" i="50"/>
  <c r="F81" i="50"/>
  <c r="F115" i="50"/>
  <c r="F93" i="50"/>
  <c r="F132" i="50"/>
  <c r="F119" i="50"/>
  <c r="F134" i="50"/>
  <c r="F139" i="50"/>
  <c r="F155" i="50"/>
  <c r="F158" i="50"/>
  <c r="F95" i="50"/>
  <c r="F109" i="50"/>
  <c r="F40" i="50"/>
  <c r="F79" i="50"/>
  <c r="F33" i="50"/>
  <c r="F50" i="50"/>
  <c r="F51" i="50"/>
  <c r="F72" i="50"/>
  <c r="F70" i="50"/>
  <c r="F73" i="50"/>
  <c r="F75" i="50"/>
  <c r="F121" i="50"/>
  <c r="F90" i="50"/>
  <c r="F76" i="50"/>
  <c r="F120" i="50"/>
  <c r="F112" i="50"/>
  <c r="F135" i="50"/>
  <c r="F100" i="50"/>
  <c r="F104" i="50"/>
  <c r="F142" i="50"/>
  <c r="F147" i="50"/>
  <c r="F148" i="50"/>
  <c r="F159" i="50"/>
  <c r="F52" i="50"/>
  <c r="F53" i="50"/>
  <c r="F160" i="50"/>
  <c r="F42" i="50"/>
  <c r="F111" i="50"/>
  <c r="F124" i="50"/>
  <c r="F97" i="50"/>
  <c r="F123" i="50"/>
  <c r="F168" i="50"/>
  <c r="F161" i="50"/>
  <c r="F163" i="50"/>
  <c r="F98" i="50"/>
  <c r="F165" i="50"/>
  <c r="F86" i="50"/>
  <c r="F84" i="50"/>
  <c r="F59" i="50"/>
  <c r="F105" i="50"/>
  <c r="F63" i="50"/>
  <c r="F131" i="50"/>
  <c r="F116" i="50"/>
  <c r="K20" i="1"/>
  <c r="K26" i="1"/>
  <c r="K53" i="1"/>
  <c r="K90" i="1"/>
  <c r="K74" i="1"/>
  <c r="K72" i="1"/>
  <c r="K75" i="1"/>
  <c r="K77" i="1"/>
  <c r="K89" i="1"/>
  <c r="K92" i="1"/>
  <c r="K78" i="1"/>
  <c r="K124" i="1"/>
  <c r="K116" i="1"/>
  <c r="K141" i="1"/>
  <c r="K130" i="1"/>
  <c r="K149" i="1"/>
  <c r="K154" i="1"/>
  <c r="K155" i="1"/>
  <c r="K46" i="1"/>
  <c r="K55" i="1"/>
  <c r="K161" i="1"/>
  <c r="K23" i="1"/>
  <c r="K168" i="1"/>
  <c r="K43" i="1"/>
  <c r="K115" i="1"/>
  <c r="K99" i="1"/>
  <c r="K127" i="1"/>
  <c r="K48" i="1"/>
  <c r="K36" i="1"/>
  <c r="K24" i="1"/>
  <c r="K27" i="1"/>
  <c r="K50" i="1"/>
  <c r="K67" i="1"/>
  <c r="K62" i="1"/>
  <c r="K68" i="1"/>
  <c r="K70" i="1"/>
  <c r="K64" i="1"/>
  <c r="K83" i="1"/>
  <c r="K93" i="1"/>
  <c r="K101" i="1"/>
  <c r="K119" i="1"/>
  <c r="K95" i="1"/>
  <c r="K98" i="1"/>
  <c r="K122" i="1"/>
  <c r="K106" i="1"/>
  <c r="K138" i="1"/>
  <c r="K123" i="1"/>
  <c r="K140" i="1"/>
  <c r="K145" i="1"/>
  <c r="K163" i="1"/>
  <c r="K166" i="1"/>
  <c r="K42" i="1"/>
  <c r="K118" i="1"/>
  <c r="K31" i="1"/>
  <c r="K14" i="1"/>
  <c r="K113" i="1"/>
  <c r="K132" i="1"/>
  <c r="K147" i="1"/>
  <c r="K10" i="1"/>
  <c r="K71" i="1"/>
  <c r="K32" i="1"/>
  <c r="K44" i="1"/>
  <c r="K91" i="1"/>
  <c r="K85" i="1"/>
  <c r="K63" i="1"/>
  <c r="K121" i="1"/>
  <c r="K82" i="1"/>
  <c r="K126" i="1"/>
  <c r="K129" i="1"/>
  <c r="K158" i="1"/>
  <c r="K117" i="1"/>
  <c r="K107" i="1"/>
  <c r="K110" i="1"/>
  <c r="K148" i="1"/>
  <c r="K152" i="1"/>
  <c r="K153" i="1"/>
  <c r="K156" i="1"/>
  <c r="K151" i="1"/>
  <c r="K160" i="1"/>
  <c r="K49" i="1"/>
  <c r="K37" i="1"/>
  <c r="K162" i="1"/>
  <c r="K21" i="1"/>
  <c r="K57" i="1"/>
  <c r="K66" i="1"/>
  <c r="K39" i="1"/>
  <c r="K150" i="1"/>
  <c r="K6" i="1"/>
  <c r="K40" i="1"/>
  <c r="K60" i="1"/>
  <c r="K28" i="1"/>
  <c r="K69" i="1"/>
  <c r="K80" i="1"/>
  <c r="K76" i="1"/>
  <c r="K56" i="1"/>
  <c r="K73" i="1"/>
  <c r="K87" i="1"/>
  <c r="K94" i="1"/>
  <c r="K111" i="1"/>
  <c r="K112" i="1"/>
  <c r="K157" i="1"/>
  <c r="K84" i="1"/>
  <c r="K96" i="1"/>
  <c r="K104" i="1"/>
  <c r="K131" i="1"/>
  <c r="K136" i="1"/>
  <c r="K143" i="1"/>
  <c r="K135" i="1"/>
  <c r="K139" i="1"/>
  <c r="K165" i="1"/>
  <c r="K164" i="1"/>
  <c r="K142" i="1"/>
  <c r="K22" i="1"/>
  <c r="K100" i="1"/>
  <c r="K133" i="1"/>
  <c r="K4" i="1"/>
  <c r="K88" i="1"/>
  <c r="K17" i="1"/>
  <c r="K109" i="1"/>
  <c r="K65" i="1"/>
  <c r="K169" i="1"/>
  <c r="K137" i="1"/>
  <c r="K61" i="1"/>
  <c r="K12" i="1"/>
  <c r="K15" i="1"/>
  <c r="K52" i="1"/>
  <c r="K19" i="1"/>
  <c r="K16" i="1"/>
  <c r="K59" i="1"/>
  <c r="K47" i="1"/>
  <c r="K114" i="1"/>
  <c r="K38" i="1"/>
  <c r="K51" i="1"/>
  <c r="K159" i="1"/>
  <c r="K79" i="1"/>
  <c r="K35" i="1"/>
  <c r="K172" i="1"/>
  <c r="K105" i="1"/>
  <c r="K134" i="1"/>
  <c r="K8" i="1"/>
  <c r="K18" i="1"/>
  <c r="K86" i="1"/>
  <c r="K171" i="1"/>
  <c r="K175" i="1"/>
  <c r="K177" i="1"/>
  <c r="K30" i="1"/>
  <c r="K25" i="1"/>
  <c r="K125" i="1"/>
  <c r="K103" i="1"/>
  <c r="K108" i="1"/>
  <c r="K167" i="1"/>
  <c r="K54" i="1"/>
  <c r="K128" i="1"/>
  <c r="K29" i="1"/>
  <c r="K102" i="1"/>
  <c r="K173" i="1"/>
  <c r="K11" i="1"/>
  <c r="K13" i="1"/>
  <c r="K33" i="1"/>
  <c r="K9" i="1"/>
  <c r="K97" i="1"/>
  <c r="K41" i="1"/>
  <c r="K7" i="1"/>
  <c r="K170" i="1"/>
  <c r="K144" i="1"/>
  <c r="K81" i="1"/>
  <c r="K34" i="1"/>
  <c r="K146" i="1"/>
  <c r="K174" i="1"/>
  <c r="G72" i="6" l="1"/>
  <c r="F72" i="6"/>
  <c r="X48" i="1"/>
  <c r="X144" i="1"/>
  <c r="G71" i="6"/>
  <c r="F71" i="6"/>
  <c r="X137" i="1"/>
  <c r="X115" i="1"/>
  <c r="G70" i="6"/>
  <c r="F70" i="6"/>
  <c r="X150" i="1"/>
  <c r="X81" i="1"/>
  <c r="X127" i="1"/>
  <c r="G69" i="6"/>
  <c r="F69" i="6"/>
  <c r="X66" i="1"/>
  <c r="G68" i="6"/>
  <c r="F68" i="6"/>
  <c r="X102" i="1"/>
  <c r="X65" i="1"/>
  <c r="X35" i="1"/>
  <c r="G67" i="6"/>
  <c r="F67" i="6"/>
  <c r="G66" i="6"/>
  <c r="F66" i="6"/>
  <c r="X132" i="1"/>
  <c r="G65" i="6"/>
  <c r="F65" i="6"/>
  <c r="X169" i="1"/>
  <c r="M169" i="50" s="1"/>
  <c r="G64" i="6"/>
  <c r="F64" i="6"/>
  <c r="X79" i="1"/>
  <c r="G63" i="6"/>
  <c r="F63" i="6"/>
  <c r="X38" i="1"/>
  <c r="X29" i="1"/>
  <c r="G62" i="6"/>
  <c r="F62" i="6"/>
  <c r="X99" i="1"/>
  <c r="G61" i="6"/>
  <c r="F61" i="6"/>
  <c r="X109" i="1"/>
  <c r="X86" i="1"/>
  <c r="G60" i="6"/>
  <c r="F60" i="6"/>
  <c r="X147" i="1"/>
  <c r="X128" i="1"/>
  <c r="G59" i="6"/>
  <c r="F59" i="6"/>
  <c r="X113" i="1"/>
  <c r="G58" i="6"/>
  <c r="F58" i="6"/>
  <c r="X39" i="1"/>
  <c r="X97" i="1"/>
  <c r="G57" i="6"/>
  <c r="F57" i="6"/>
  <c r="X171" i="1"/>
  <c r="X159" i="1"/>
  <c r="G56" i="6"/>
  <c r="F56" i="6"/>
  <c r="X142" i="1"/>
  <c r="X55" i="1"/>
  <c r="F55" i="6"/>
  <c r="X21" i="1"/>
  <c r="M24" i="50" s="1"/>
  <c r="G54" i="6"/>
  <c r="F54" i="6"/>
  <c r="X37" i="1"/>
  <c r="G53" i="6"/>
  <c r="F53" i="6"/>
  <c r="X61" i="1"/>
  <c r="X4" i="1"/>
  <c r="U45" i="1"/>
  <c r="X11" i="1"/>
  <c r="M14" i="50" s="1"/>
  <c r="X10" i="1"/>
  <c r="M13" i="50" s="1"/>
  <c r="X8" i="1"/>
  <c r="M11" i="50" s="1"/>
  <c r="X20" i="1"/>
  <c r="M23" i="50" s="1"/>
  <c r="X36" i="1"/>
  <c r="X14" i="1"/>
  <c r="M17" i="50" s="1"/>
  <c r="X19" i="1"/>
  <c r="M22" i="50" s="1"/>
  <c r="X6" i="1"/>
  <c r="M9" i="50" s="1"/>
  <c r="X12" i="1"/>
  <c r="M15" i="50" s="1"/>
  <c r="X13" i="1"/>
  <c r="M16" i="50" s="1"/>
  <c r="X16" i="1"/>
  <c r="M19" i="50" s="1"/>
  <c r="X18" i="1"/>
  <c r="M21" i="50" s="1"/>
  <c r="X15" i="1"/>
  <c r="M18" i="50" s="1"/>
  <c r="X33" i="1"/>
  <c r="X71" i="1"/>
  <c r="X40" i="1"/>
  <c r="X25" i="1"/>
  <c r="M27" i="50" s="1"/>
  <c r="X24" i="1"/>
  <c r="M26" i="50" s="1"/>
  <c r="X32" i="1"/>
  <c r="X60" i="1"/>
  <c r="X26" i="1"/>
  <c r="M28" i="50" s="1"/>
  <c r="X27" i="1"/>
  <c r="M29" i="50" s="1"/>
  <c r="X45" i="1"/>
  <c r="X28" i="1"/>
  <c r="M30" i="50" s="1"/>
  <c r="X52" i="1"/>
  <c r="X50" i="1"/>
  <c r="X59" i="1"/>
  <c r="X69" i="1"/>
  <c r="X53" i="1"/>
  <c r="X67" i="1"/>
  <c r="X47" i="1"/>
  <c r="X80" i="1"/>
  <c r="X90" i="1"/>
  <c r="X62" i="1"/>
  <c r="X91" i="1"/>
  <c r="X76" i="1"/>
  <c r="X74" i="1"/>
  <c r="X68" i="1"/>
  <c r="X85" i="1"/>
  <c r="X56" i="1"/>
  <c r="X72" i="1"/>
  <c r="X63" i="1"/>
  <c r="M61" i="50" s="1"/>
  <c r="X73" i="1"/>
  <c r="X75" i="1"/>
  <c r="X64" i="1"/>
  <c r="X121" i="1"/>
  <c r="X87" i="1"/>
  <c r="X77" i="1"/>
  <c r="M75" i="50" s="1"/>
  <c r="X83" i="1"/>
  <c r="X82" i="1"/>
  <c r="X94" i="1"/>
  <c r="X125" i="1"/>
  <c r="X126" i="1"/>
  <c r="X111" i="1"/>
  <c r="X89" i="1"/>
  <c r="X101" i="1"/>
  <c r="X129" i="1"/>
  <c r="X112" i="1"/>
  <c r="X92" i="1"/>
  <c r="X119" i="1"/>
  <c r="X158" i="1"/>
  <c r="X157" i="1"/>
  <c r="X95" i="1"/>
  <c r="X117" i="1"/>
  <c r="X84" i="1"/>
  <c r="X124" i="1"/>
  <c r="X98" i="1"/>
  <c r="X107" i="1"/>
  <c r="X96" i="1"/>
  <c r="X116" i="1"/>
  <c r="X122" i="1"/>
  <c r="X114" i="1"/>
  <c r="X104" i="1"/>
  <c r="X120" i="1"/>
  <c r="X141" i="1"/>
  <c r="X106" i="1"/>
  <c r="X110" i="1"/>
  <c r="X131" i="1"/>
  <c r="X103" i="1"/>
  <c r="X138" i="1"/>
  <c r="X148" i="1"/>
  <c r="X136" i="1"/>
  <c r="X130" i="1"/>
  <c r="X123" i="1"/>
  <c r="X152" i="1"/>
  <c r="X108" i="1"/>
  <c r="X140" i="1"/>
  <c r="X153" i="1"/>
  <c r="X135" i="1"/>
  <c r="X149" i="1"/>
  <c r="X145" i="1"/>
  <c r="X156" i="1"/>
  <c r="X139" i="1"/>
  <c r="X154" i="1"/>
  <c r="X163" i="1"/>
  <c r="X151" i="1"/>
  <c r="X165" i="1"/>
  <c r="X155" i="1"/>
  <c r="X166" i="1"/>
  <c r="X160" i="1"/>
  <c r="X164" i="1"/>
  <c r="X167" i="1"/>
  <c r="X9" i="1"/>
  <c r="M12" i="50" s="1"/>
  <c r="X44" i="1"/>
  <c r="X70" i="1"/>
  <c r="X46" i="1"/>
  <c r="X93" i="1"/>
  <c r="M91" i="50" s="1"/>
  <c r="X78" i="1"/>
  <c r="M76" i="50" s="1"/>
  <c r="X42" i="1"/>
  <c r="X22" i="1"/>
  <c r="X49" i="1"/>
  <c r="X54" i="1"/>
  <c r="X118" i="1"/>
  <c r="X100" i="1"/>
  <c r="X162" i="1"/>
  <c r="X161" i="1"/>
  <c r="X133" i="1"/>
  <c r="M166" i="50" s="1"/>
  <c r="X31" i="1"/>
  <c r="X23" i="1"/>
  <c r="M25" i="50" s="1"/>
  <c r="X168" i="1"/>
  <c r="X57" i="1"/>
  <c r="X88" i="1"/>
  <c r="X17" i="1"/>
  <c r="M20" i="50" s="1"/>
  <c r="X51" i="1"/>
  <c r="X41" i="1"/>
  <c r="X43" i="1"/>
  <c r="X7" i="1"/>
  <c r="M10" i="50" s="1"/>
  <c r="X170" i="1"/>
  <c r="M170" i="50" s="1"/>
  <c r="X34" i="1"/>
  <c r="X172" i="1"/>
  <c r="X175" i="1"/>
  <c r="M179" i="50" s="1"/>
  <c r="X176" i="1"/>
  <c r="M180" i="50" s="1"/>
  <c r="X146" i="1"/>
  <c r="X105" i="1"/>
  <c r="M173" i="50" s="1"/>
  <c r="X177" i="1"/>
  <c r="M181" i="50" s="1"/>
  <c r="X173" i="1"/>
  <c r="M176" i="50" s="1"/>
  <c r="X174" i="1"/>
  <c r="M177" i="50" s="1"/>
  <c r="X30" i="1"/>
  <c r="M178" i="50" s="1"/>
  <c r="X134" i="1"/>
  <c r="M172" i="50" s="1"/>
  <c r="X5" i="1"/>
  <c r="M8" i="50" s="1"/>
  <c r="H5" i="1"/>
  <c r="F8" i="50" s="1"/>
  <c r="L17" i="6"/>
  <c r="L16" i="6"/>
  <c r="H48" i="6"/>
  <c r="H49" i="6"/>
  <c r="G48" i="6"/>
  <c r="G49" i="6"/>
  <c r="H47" i="6"/>
  <c r="G47" i="6"/>
  <c r="C3" i="1"/>
  <c r="L3" i="1" s="1"/>
  <c r="AL41" i="1"/>
  <c r="AL90" i="1"/>
  <c r="AL73" i="1"/>
  <c r="AL51" i="1"/>
  <c r="AL132" i="1"/>
  <c r="AL72" i="1"/>
  <c r="AL86" i="1"/>
  <c r="AL149" i="1"/>
  <c r="AL118" i="1"/>
  <c r="AL48" i="1"/>
  <c r="AL59" i="1"/>
  <c r="AL147" i="1"/>
  <c r="AL158" i="1"/>
  <c r="AL88" i="1"/>
  <c r="AL4" i="1"/>
  <c r="AL152" i="1"/>
  <c r="AL57" i="1"/>
  <c r="AL116" i="1"/>
  <c r="AL76" i="1"/>
  <c r="AL104" i="1"/>
  <c r="AL114" i="1"/>
  <c r="AL55" i="1"/>
  <c r="AL142" i="1"/>
  <c r="AL98" i="1"/>
  <c r="AL47" i="1"/>
  <c r="AL17" i="1"/>
  <c r="AL103" i="1"/>
  <c r="AL68" i="1"/>
  <c r="AL95" i="1"/>
  <c r="AL157" i="1"/>
  <c r="AL101" i="1"/>
  <c r="AL78" i="1"/>
  <c r="AL16" i="1"/>
  <c r="AL39" i="1"/>
  <c r="AL110" i="1"/>
  <c r="AL32" i="1"/>
  <c r="AL129" i="1"/>
  <c r="AL156" i="1"/>
  <c r="AL52" i="1"/>
  <c r="AL77" i="1"/>
  <c r="AL125" i="1"/>
  <c r="AL136" i="1"/>
  <c r="AL94" i="1"/>
  <c r="AL109" i="1"/>
  <c r="AL120" i="1"/>
  <c r="AL100" i="1"/>
  <c r="AL126" i="1"/>
  <c r="AL26" i="1"/>
  <c r="AL11" i="1"/>
  <c r="AL69" i="1"/>
  <c r="AL71" i="1"/>
  <c r="AL150" i="1"/>
  <c r="AL31" i="1"/>
  <c r="AL91" i="1"/>
  <c r="AL33" i="1"/>
  <c r="AL75" i="1"/>
  <c r="AL128" i="1"/>
  <c r="AL50" i="1"/>
  <c r="AL80" i="1"/>
  <c r="AL67" i="1"/>
  <c r="AL153" i="1"/>
  <c r="AL131" i="1"/>
  <c r="AL8" i="1"/>
  <c r="AL9" i="1"/>
  <c r="AL92" i="1"/>
  <c r="AL6" i="1"/>
  <c r="AL62" i="1"/>
  <c r="AL82" i="1"/>
  <c r="AL93" i="1"/>
  <c r="AL140" i="1"/>
  <c r="AL163" i="1"/>
  <c r="AL87" i="1"/>
  <c r="AL7" i="1"/>
  <c r="AL15" i="1"/>
  <c r="AL102" i="1"/>
  <c r="AL139" i="1"/>
  <c r="AL79" i="1"/>
  <c r="AL89" i="1"/>
  <c r="AL154" i="1"/>
  <c r="AL148" i="1"/>
  <c r="AL117" i="1"/>
  <c r="AL96" i="1"/>
  <c r="AL130" i="1"/>
  <c r="AL127" i="1"/>
  <c r="AL40" i="1"/>
  <c r="AL124" i="1"/>
  <c r="AL138" i="1"/>
  <c r="AL83" i="1"/>
  <c r="AL111" i="1"/>
  <c r="AL168" i="1"/>
  <c r="AL169" i="1"/>
  <c r="AL141" i="1"/>
  <c r="AL115" i="1"/>
  <c r="AL70" i="1"/>
  <c r="AL12" i="1"/>
  <c r="AL44" i="1"/>
  <c r="AL53" i="1"/>
  <c r="AL108" i="1"/>
  <c r="AL36" i="1"/>
  <c r="AL123" i="1"/>
  <c r="AL25" i="1"/>
  <c r="AL99" i="1"/>
  <c r="AL37" i="1"/>
  <c r="AL38" i="1"/>
  <c r="AL29" i="1"/>
  <c r="AL144" i="1"/>
  <c r="AL145" i="1"/>
  <c r="AL84" i="1"/>
  <c r="AL119" i="1"/>
  <c r="AL46" i="1"/>
  <c r="AL66" i="1"/>
  <c r="AL85" i="1"/>
  <c r="AL45" i="1"/>
  <c r="AL113" i="1"/>
  <c r="AL65" i="1"/>
  <c r="AL18" i="1"/>
  <c r="AL35" i="1"/>
  <c r="AL107" i="1"/>
  <c r="AL14" i="1"/>
  <c r="AL122" i="1"/>
  <c r="AL19" i="1"/>
  <c r="AL166" i="1"/>
  <c r="AL61" i="1"/>
  <c r="AL10" i="1"/>
  <c r="AL63" i="1"/>
  <c r="AL106" i="1"/>
  <c r="AL137" i="1"/>
  <c r="AL97" i="1"/>
  <c r="AL143" i="1"/>
  <c r="AL64" i="1"/>
  <c r="AL171" i="1"/>
  <c r="AL159" i="1"/>
  <c r="AL49" i="1"/>
  <c r="AL74" i="1"/>
  <c r="AL21" i="1"/>
  <c r="AL151" i="1"/>
  <c r="AL135" i="1"/>
  <c r="AL170" i="1"/>
  <c r="AL112" i="1"/>
  <c r="AL13" i="1"/>
  <c r="AL60" i="1"/>
  <c r="AL34" i="1"/>
  <c r="AL175" i="1"/>
  <c r="AL176" i="1"/>
  <c r="AL177" i="1"/>
  <c r="AL172" i="1"/>
  <c r="AL24" i="1"/>
  <c r="AL56" i="1"/>
  <c r="AL160" i="1"/>
  <c r="AL164" i="1"/>
  <c r="AL155" i="1"/>
  <c r="AL167" i="1"/>
  <c r="AL23" i="1"/>
  <c r="AL43" i="1"/>
  <c r="AL173" i="1"/>
  <c r="AL174" i="1"/>
  <c r="AL20" i="1"/>
  <c r="AL27" i="1"/>
  <c r="AL165" i="1"/>
  <c r="AL28" i="1"/>
  <c r="AL22" i="1"/>
  <c r="AL54" i="1"/>
  <c r="AL42" i="1"/>
  <c r="AL161" i="1"/>
  <c r="AL162" i="1"/>
  <c r="AL133" i="1"/>
  <c r="AL81" i="1"/>
  <c r="AN146" i="1"/>
  <c r="M171" i="50" l="1"/>
  <c r="D30" i="6"/>
  <c r="M160" i="50"/>
  <c r="M52" i="50"/>
  <c r="M66" i="50"/>
  <c r="M33" i="50"/>
  <c r="M114" i="50"/>
  <c r="M175" i="50"/>
  <c r="M60" i="50"/>
  <c r="M82" i="50"/>
  <c r="M51" i="50"/>
  <c r="M154" i="50"/>
  <c r="M78" i="50"/>
  <c r="M174" i="50"/>
  <c r="M86" i="50"/>
  <c r="M163" i="50"/>
  <c r="M158" i="50"/>
  <c r="M139" i="50"/>
  <c r="M93" i="50"/>
  <c r="M90" i="50"/>
  <c r="M38" i="50"/>
  <c r="M31" i="50"/>
  <c r="M98" i="50"/>
  <c r="M159" i="50"/>
  <c r="M148" i="50"/>
  <c r="M130" i="50"/>
  <c r="M127" i="50"/>
  <c r="M108" i="50"/>
  <c r="M168" i="50"/>
  <c r="M143" i="50"/>
  <c r="M131" i="50"/>
  <c r="M155" i="50"/>
  <c r="M134" i="50"/>
  <c r="M126" i="50"/>
  <c r="M100" i="50"/>
  <c r="M96" i="50"/>
  <c r="M40" i="50"/>
  <c r="M55" i="50"/>
  <c r="M45" i="50"/>
  <c r="M147" i="50"/>
  <c r="M142" i="50"/>
  <c r="M104" i="50"/>
  <c r="M112" i="50"/>
  <c r="M120" i="50"/>
  <c r="M107" i="50"/>
  <c r="M80" i="50"/>
  <c r="M117" i="50"/>
  <c r="M65" i="50"/>
  <c r="M48" i="50"/>
  <c r="M32" i="50"/>
  <c r="M59" i="50"/>
  <c r="M138" i="50"/>
  <c r="M167" i="50"/>
  <c r="M68" i="50"/>
  <c r="M157" i="50"/>
  <c r="M146" i="50"/>
  <c r="M151" i="50"/>
  <c r="M125" i="50"/>
  <c r="M35" i="50"/>
  <c r="M85" i="50"/>
  <c r="M71" i="50"/>
  <c r="M83" i="50"/>
  <c r="M89" i="50"/>
  <c r="M57" i="50"/>
  <c r="M44" i="50"/>
  <c r="M69" i="50"/>
  <c r="M165" i="50"/>
  <c r="M36" i="50"/>
  <c r="M105" i="50"/>
  <c r="M79" i="50"/>
  <c r="M41" i="50"/>
  <c r="M116" i="50"/>
  <c r="M150" i="50"/>
  <c r="M49" i="50"/>
  <c r="M56" i="50"/>
  <c r="M156" i="50"/>
  <c r="M133" i="50"/>
  <c r="M129" i="50"/>
  <c r="M141" i="50"/>
  <c r="M106" i="50"/>
  <c r="M101" i="50"/>
  <c r="M94" i="50"/>
  <c r="M122" i="50"/>
  <c r="M81" i="50"/>
  <c r="M62" i="50"/>
  <c r="M70" i="50"/>
  <c r="M72" i="50"/>
  <c r="M88" i="50"/>
  <c r="M50" i="50"/>
  <c r="M53" i="50"/>
  <c r="M128" i="50"/>
  <c r="M161" i="50"/>
  <c r="M47" i="50"/>
  <c r="M43" i="50"/>
  <c r="M153" i="50"/>
  <c r="M144" i="50"/>
  <c r="M149" i="50"/>
  <c r="M145" i="50"/>
  <c r="M119" i="50"/>
  <c r="M132" i="50"/>
  <c r="M102" i="50"/>
  <c r="M110" i="50"/>
  <c r="M103" i="50"/>
  <c r="M113" i="50"/>
  <c r="M115" i="50"/>
  <c r="M99" i="50"/>
  <c r="M121" i="50"/>
  <c r="M73" i="50"/>
  <c r="M54" i="50"/>
  <c r="M74" i="50"/>
  <c r="M67" i="50"/>
  <c r="M58" i="50"/>
  <c r="M39" i="50"/>
  <c r="M136" i="50"/>
  <c r="M152" i="50"/>
  <c r="M95" i="50"/>
  <c r="M124" i="50"/>
  <c r="M84" i="50"/>
  <c r="M97" i="50"/>
  <c r="M164" i="50"/>
  <c r="M77" i="50"/>
  <c r="M34" i="50"/>
  <c r="M123" i="50"/>
  <c r="M42" i="50"/>
  <c r="M135" i="50"/>
  <c r="M137" i="50"/>
  <c r="M118" i="50"/>
  <c r="M87" i="50"/>
  <c r="M92" i="50"/>
  <c r="M46" i="50"/>
  <c r="M162" i="50"/>
  <c r="M109" i="50"/>
  <c r="M140" i="50"/>
  <c r="M37" i="50"/>
  <c r="M63" i="50"/>
  <c r="M64" i="50"/>
  <c r="M111" i="50"/>
  <c r="S17" i="6"/>
  <c r="T17" i="6" s="1"/>
  <c r="K5" i="1"/>
  <c r="D118" i="6"/>
  <c r="D105" i="6"/>
  <c r="D116" i="6"/>
  <c r="D102" i="6"/>
  <c r="D113" i="6"/>
  <c r="D108" i="6"/>
  <c r="D111" i="6"/>
  <c r="D119" i="6"/>
  <c r="D109" i="6"/>
  <c r="D112" i="6"/>
  <c r="D103" i="6"/>
  <c r="D106" i="6"/>
  <c r="D117" i="6"/>
  <c r="D104" i="6"/>
  <c r="D101" i="6"/>
  <c r="D107" i="6"/>
  <c r="D115" i="6"/>
  <c r="D110" i="6"/>
  <c r="D114" i="6"/>
  <c r="AW45" i="1"/>
  <c r="E49" i="6"/>
  <c r="D35" i="6"/>
  <c r="D87" i="6"/>
  <c r="D62" i="6"/>
  <c r="D60" i="6"/>
  <c r="D61" i="6"/>
  <c r="D65" i="6"/>
  <c r="D94" i="6"/>
  <c r="D37" i="6"/>
  <c r="D92" i="6"/>
  <c r="D91" i="6"/>
  <c r="D86" i="6"/>
  <c r="D78" i="6"/>
  <c r="D77" i="6"/>
  <c r="D81" i="6"/>
  <c r="D83" i="6"/>
  <c r="D84" i="6"/>
  <c r="D88" i="6"/>
  <c r="D95" i="6"/>
  <c r="D85" i="6"/>
  <c r="D93" i="6"/>
  <c r="D96" i="6"/>
  <c r="D66" i="6"/>
  <c r="D34" i="6"/>
  <c r="E47" i="6"/>
  <c r="D39" i="6"/>
  <c r="D41" i="6"/>
  <c r="D31" i="6"/>
  <c r="D40" i="6"/>
  <c r="D79" i="6"/>
  <c r="D80" i="6"/>
  <c r="D68" i="6"/>
  <c r="D90" i="6"/>
  <c r="D67" i="6"/>
  <c r="D89" i="6"/>
  <c r="D27" i="6"/>
  <c r="E48" i="6"/>
  <c r="D56" i="6"/>
  <c r="D53" i="6"/>
  <c r="D54" i="6"/>
  <c r="D70" i="6"/>
  <c r="D55" i="6"/>
  <c r="D57" i="6"/>
  <c r="D58" i="6"/>
  <c r="D59" i="6"/>
  <c r="D32" i="6"/>
  <c r="D29" i="6"/>
  <c r="D63" i="6"/>
  <c r="D28" i="6"/>
  <c r="D64" i="6"/>
  <c r="D69" i="6"/>
  <c r="D38" i="6"/>
  <c r="D71" i="6"/>
  <c r="D72" i="6"/>
  <c r="O45" i="1"/>
  <c r="W2" i="1" l="1"/>
  <c r="AF2" i="1"/>
  <c r="V2" i="1"/>
  <c r="Y2" i="1"/>
  <c r="D2" i="1"/>
  <c r="E2" i="1"/>
  <c r="E3" i="1" s="1"/>
  <c r="S16" i="6" s="1"/>
  <c r="T16" i="6" s="1"/>
  <c r="J2" i="1"/>
  <c r="H176" i="1"/>
  <c r="F180" i="50" s="1"/>
  <c r="F116" i="6"/>
  <c r="F117" i="6"/>
  <c r="F92" i="6"/>
  <c r="F89" i="6"/>
  <c r="E59" i="6"/>
  <c r="E60" i="6"/>
  <c r="E61" i="6"/>
  <c r="E64" i="6"/>
  <c r="F90" i="6"/>
  <c r="E72" i="6"/>
  <c r="F93" i="6"/>
  <c r="F94" i="6"/>
  <c r="E70" i="6"/>
  <c r="E68" i="6"/>
  <c r="F87" i="6"/>
  <c r="E66" i="6"/>
  <c r="F91" i="6"/>
  <c r="E71" i="6"/>
  <c r="E63" i="6"/>
  <c r="E57" i="6"/>
  <c r="F95" i="6"/>
  <c r="E69" i="6"/>
  <c r="F118" i="6"/>
  <c r="E62" i="6"/>
  <c r="C118" i="6"/>
  <c r="C116" i="6"/>
  <c r="C117" i="6"/>
  <c r="C119" i="6"/>
  <c r="C91" i="6"/>
  <c r="C92" i="6"/>
  <c r="C93" i="6"/>
  <c r="C94" i="6"/>
  <c r="C89" i="6"/>
  <c r="C96" i="6"/>
  <c r="C95" i="6"/>
  <c r="C90" i="6"/>
  <c r="C67" i="6"/>
  <c r="C62" i="6"/>
  <c r="C64" i="6"/>
  <c r="C61" i="6"/>
  <c r="Q45" i="1"/>
  <c r="C65" i="6"/>
  <c r="C69" i="6"/>
  <c r="C68" i="6"/>
  <c r="C63" i="6"/>
  <c r="C59" i="6"/>
  <c r="C71" i="6"/>
  <c r="C66" i="6"/>
  <c r="C60" i="6"/>
  <c r="C72" i="6"/>
  <c r="C70" i="6"/>
  <c r="I16" i="6" l="1"/>
  <c r="W16" i="6"/>
  <c r="W17" i="6" s="1"/>
  <c r="X17" i="6" s="1"/>
  <c r="C7" i="6"/>
  <c r="J3" i="1"/>
  <c r="C12" i="6" s="1"/>
  <c r="G17" i="6"/>
  <c r="D3" i="1"/>
  <c r="L5" i="6"/>
  <c r="M5" i="6" s="1"/>
  <c r="Y3" i="1"/>
  <c r="L10" i="6" s="1"/>
  <c r="M10" i="6" s="1"/>
  <c r="K6" i="50"/>
  <c r="V3" i="1"/>
  <c r="E10" i="6" s="1"/>
  <c r="F10" i="6" s="1"/>
  <c r="I6" i="50"/>
  <c r="AF3" i="1"/>
  <c r="J11" i="6" s="1"/>
  <c r="L6" i="50"/>
  <c r="W3" i="1"/>
  <c r="H2" i="1"/>
  <c r="E6" i="6"/>
  <c r="E5" i="6"/>
  <c r="J6" i="6"/>
  <c r="X2" i="1"/>
  <c r="M6" i="50" s="1"/>
  <c r="I23" i="6"/>
  <c r="I18" i="6"/>
  <c r="G18" i="6"/>
  <c r="H6" i="48" s="1"/>
  <c r="K176" i="1"/>
  <c r="U16" i="6"/>
  <c r="C16" i="6"/>
  <c r="D16" i="6" s="1"/>
  <c r="Q16" i="6"/>
  <c r="R16" i="6" s="1"/>
  <c r="G16" i="6"/>
  <c r="C17" i="6"/>
  <c r="F2" i="1"/>
  <c r="X16" i="6" l="1"/>
  <c r="J18" i="6"/>
  <c r="J23" i="6"/>
  <c r="X3" i="1"/>
  <c r="E11" i="6"/>
  <c r="F11" i="6" s="1"/>
  <c r="F3" i="1"/>
  <c r="I17" i="6"/>
  <c r="F6" i="50"/>
  <c r="H3" i="1"/>
  <c r="C6" i="6"/>
  <c r="I19" i="6"/>
  <c r="I20" i="6" s="1"/>
  <c r="I21" i="6" s="1"/>
  <c r="I22" i="6" s="1"/>
  <c r="J22" i="6" s="1"/>
  <c r="G19" i="6"/>
  <c r="H7" i="48" s="1"/>
  <c r="F5" i="6"/>
  <c r="F6" i="6"/>
  <c r="G23" i="6"/>
  <c r="H11" i="48" s="1"/>
  <c r="D17" i="6"/>
  <c r="H16" i="6"/>
  <c r="H17" i="6"/>
  <c r="H18" i="6"/>
  <c r="I6" i="48" s="1"/>
  <c r="V16" i="6"/>
  <c r="C11" i="6" l="1"/>
  <c r="G20" i="6"/>
  <c r="H8" i="48" s="1"/>
  <c r="J20" i="6"/>
  <c r="J19" i="6"/>
  <c r="J21" i="6"/>
  <c r="H19" i="6"/>
  <c r="I7" i="48" s="1"/>
  <c r="H23" i="6"/>
  <c r="I11" i="48" s="1"/>
  <c r="H20" i="6" l="1"/>
  <c r="I8" i="48" s="1"/>
  <c r="G21" i="6"/>
  <c r="H9" i="48" s="1"/>
  <c r="G22" i="6" l="1"/>
  <c r="H10" i="48" s="1"/>
  <c r="H21" i="6"/>
  <c r="I9" i="48" s="1"/>
  <c r="E65" i="6"/>
  <c r="S138" i="1"/>
  <c r="U138" i="1" s="1"/>
  <c r="S78" i="1"/>
  <c r="AU78" i="1" s="1"/>
  <c r="S121" i="1"/>
  <c r="S90" i="1"/>
  <c r="S117" i="1"/>
  <c r="S76" i="1"/>
  <c r="S149" i="1"/>
  <c r="AU149" i="1" s="1"/>
  <c r="S23" i="1"/>
  <c r="G23" i="1" s="1"/>
  <c r="E25" i="50" s="1"/>
  <c r="S89" i="1"/>
  <c r="G89" i="1" s="1"/>
  <c r="S122" i="1"/>
  <c r="AU122" i="1" s="1"/>
  <c r="S44" i="1"/>
  <c r="U44" i="1" s="1"/>
  <c r="S66" i="1"/>
  <c r="S52" i="1"/>
  <c r="S6" i="1"/>
  <c r="AU6" i="1" s="1"/>
  <c r="S40" i="1"/>
  <c r="AU40" i="1" s="1"/>
  <c r="S28" i="1"/>
  <c r="S80" i="1"/>
  <c r="G80" i="1" s="1"/>
  <c r="S56" i="1"/>
  <c r="G56" i="1" s="1"/>
  <c r="S111" i="1"/>
  <c r="S157" i="1"/>
  <c r="S96" i="1"/>
  <c r="AU96" i="1" s="1"/>
  <c r="S110" i="1"/>
  <c r="AU110" i="1" s="1"/>
  <c r="S152" i="1"/>
  <c r="S160" i="1"/>
  <c r="S162" i="1"/>
  <c r="U162" i="1" s="1"/>
  <c r="S172" i="1"/>
  <c r="U172" i="1" s="1"/>
  <c r="S64" i="1"/>
  <c r="U64" i="1" s="1"/>
  <c r="S26" i="1"/>
  <c r="G26" i="1" s="1"/>
  <c r="E28" i="50" s="1"/>
  <c r="S74" i="1"/>
  <c r="AU74" i="1" s="1"/>
  <c r="S156" i="1"/>
  <c r="AU156" i="1" s="1"/>
  <c r="S87" i="1"/>
  <c r="AU87" i="1" s="1"/>
  <c r="S100" i="1"/>
  <c r="G100" i="1" s="1"/>
  <c r="S86" i="1"/>
  <c r="S126" i="1"/>
  <c r="S147" i="1"/>
  <c r="S112" i="1"/>
  <c r="U112" i="1" s="1"/>
  <c r="S141" i="1"/>
  <c r="S139" i="1"/>
  <c r="U139" i="1" s="1"/>
  <c r="S140" i="1"/>
  <c r="U140" i="1" s="1"/>
  <c r="S85" i="1"/>
  <c r="S135" i="1"/>
  <c r="AU135" i="1" s="1"/>
  <c r="S62" i="1"/>
  <c r="U62" i="1" s="1"/>
  <c r="S82" i="1"/>
  <c r="AU82" i="1" s="1"/>
  <c r="S165" i="1"/>
  <c r="U165" i="1" s="1"/>
  <c r="S164" i="1"/>
  <c r="G164" i="1" s="1"/>
  <c r="S124" i="1"/>
  <c r="U124" i="1" s="1"/>
  <c r="S148" i="1"/>
  <c r="U148" i="1" s="1"/>
  <c r="S97" i="1"/>
  <c r="AU97" i="1" s="1"/>
  <c r="S35" i="1"/>
  <c r="AU35" i="1" s="1"/>
  <c r="S93" i="1"/>
  <c r="G93" i="1" s="1"/>
  <c r="S75" i="1"/>
  <c r="U75" i="1" s="1"/>
  <c r="S19" i="1"/>
  <c r="S47" i="1"/>
  <c r="G47" i="1" s="1"/>
  <c r="S158" i="1"/>
  <c r="S107" i="1"/>
  <c r="U107" i="1" s="1"/>
  <c r="S123" i="1"/>
  <c r="S145" i="1"/>
  <c r="S166" i="1"/>
  <c r="AU166" i="1" s="1"/>
  <c r="S42" i="1"/>
  <c r="U42" i="1" s="1"/>
  <c r="S31" i="1"/>
  <c r="AU31" i="1" s="1"/>
  <c r="S41" i="1"/>
  <c r="U41" i="1" s="1"/>
  <c r="S171" i="1"/>
  <c r="U171" i="1" s="1"/>
  <c r="S81" i="1"/>
  <c r="AU81" i="1" s="1"/>
  <c r="S146" i="1"/>
  <c r="U146" i="1" s="1"/>
  <c r="S11" i="1"/>
  <c r="AU11" i="1" s="1"/>
  <c r="S13" i="1"/>
  <c r="AU13" i="1" s="1"/>
  <c r="S24" i="1"/>
  <c r="S50" i="1"/>
  <c r="S70" i="1"/>
  <c r="U70" i="1" s="1"/>
  <c r="S83" i="1"/>
  <c r="S101" i="1"/>
  <c r="S95" i="1"/>
  <c r="AU95" i="1" s="1"/>
  <c r="S103" i="1"/>
  <c r="AU103" i="1" s="1"/>
  <c r="S108" i="1"/>
  <c r="AU108" i="1" s="1"/>
  <c r="S154" i="1"/>
  <c r="AU154" i="1" s="1"/>
  <c r="S167" i="1"/>
  <c r="S54" i="1"/>
  <c r="G54" i="1" s="1"/>
  <c r="S161" i="1"/>
  <c r="AU161" i="1" s="1"/>
  <c r="S168" i="1"/>
  <c r="AU168" i="1" s="1"/>
  <c r="S115" i="1"/>
  <c r="S29" i="1"/>
  <c r="S127" i="1"/>
  <c r="G127" i="1" s="1"/>
  <c r="S48" i="1"/>
  <c r="AU48" i="1" s="1"/>
  <c r="S173" i="1"/>
  <c r="AU173" i="1" s="1"/>
  <c r="S106" i="1"/>
  <c r="AU106" i="1" s="1"/>
  <c r="S61" i="1"/>
  <c r="G61" i="1" s="1"/>
  <c r="S5" i="1"/>
  <c r="S143" i="1"/>
  <c r="S46" i="1"/>
  <c r="AU46" i="1" s="1"/>
  <c r="S38" i="1"/>
  <c r="U38" i="1" s="1"/>
  <c r="S43" i="1"/>
  <c r="AU43" i="1" s="1"/>
  <c r="S79" i="1"/>
  <c r="U79" i="1" s="1"/>
  <c r="S125" i="1"/>
  <c r="U125" i="1" s="1"/>
  <c r="S142" i="1"/>
  <c r="S98" i="1"/>
  <c r="G98" i="1" s="1"/>
  <c r="S55" i="1"/>
  <c r="S8" i="1"/>
  <c r="S18" i="1"/>
  <c r="AU18" i="1" s="1"/>
  <c r="S60" i="1"/>
  <c r="G60" i="1" s="1"/>
  <c r="S69" i="1"/>
  <c r="G69" i="1" s="1"/>
  <c r="S73" i="1"/>
  <c r="S94" i="1"/>
  <c r="AU94" i="1" s="1"/>
  <c r="S84" i="1"/>
  <c r="AU84" i="1" s="1"/>
  <c r="S153" i="1"/>
  <c r="U153" i="1" s="1"/>
  <c r="S151" i="1"/>
  <c r="S49" i="1"/>
  <c r="S37" i="1"/>
  <c r="U37" i="1" s="1"/>
  <c r="S21" i="1"/>
  <c r="S51" i="1"/>
  <c r="G51" i="1" s="1"/>
  <c r="S134" i="1"/>
  <c r="U134" i="1" s="1"/>
  <c r="S59" i="1"/>
  <c r="AU59" i="1" s="1"/>
  <c r="S68" i="1"/>
  <c r="AU68" i="1" s="1"/>
  <c r="S159" i="1"/>
  <c r="AU159" i="1" s="1"/>
  <c r="S53" i="1"/>
  <c r="U53" i="1" s="1"/>
  <c r="S118" i="1"/>
  <c r="S150" i="1"/>
  <c r="S20" i="1"/>
  <c r="S15" i="1"/>
  <c r="AU15" i="1" s="1"/>
  <c r="S72" i="1"/>
  <c r="S77" i="1"/>
  <c r="U77" i="1" s="1"/>
  <c r="S88" i="1"/>
  <c r="U88" i="1" s="1"/>
  <c r="S57" i="1"/>
  <c r="AU57" i="1" s="1"/>
  <c r="S67" i="1"/>
  <c r="AU67" i="1" s="1"/>
  <c r="S104" i="1"/>
  <c r="AU104" i="1" s="1"/>
  <c r="S99" i="1"/>
  <c r="AU99" i="1" s="1"/>
  <c r="S71" i="1"/>
  <c r="AU71" i="1" s="1"/>
  <c r="S137" i="1"/>
  <c r="S91" i="1"/>
  <c r="G91" i="1" s="1"/>
  <c r="S129" i="1"/>
  <c r="S119" i="1"/>
  <c r="S116" i="1"/>
  <c r="U116" i="1" s="1"/>
  <c r="S34" i="1"/>
  <c r="S163" i="1"/>
  <c r="S136" i="1"/>
  <c r="S92" i="1"/>
  <c r="S155" i="1"/>
  <c r="S39" i="1"/>
  <c r="S144" i="1"/>
  <c r="S12" i="1"/>
  <c r="S4" i="1"/>
  <c r="S177" i="1"/>
  <c r="AE5" i="1"/>
  <c r="S14" i="1"/>
  <c r="S65" i="1"/>
  <c r="S33" i="1"/>
  <c r="S128" i="1"/>
  <c r="S130" i="1"/>
  <c r="S27" i="1"/>
  <c r="S114" i="1"/>
  <c r="AE149" i="1"/>
  <c r="AE26" i="1"/>
  <c r="AE94" i="1"/>
  <c r="AE116" i="1"/>
  <c r="AE27" i="1"/>
  <c r="AE125" i="1"/>
  <c r="AE97" i="1"/>
  <c r="AE81" i="1"/>
  <c r="AE112" i="1"/>
  <c r="AE41" i="1"/>
  <c r="AE146" i="1"/>
  <c r="AE39" i="1"/>
  <c r="AE20" i="1"/>
  <c r="AE61" i="1"/>
  <c r="AE156" i="1"/>
  <c r="AE57" i="1"/>
  <c r="AE150" i="1"/>
  <c r="AE73" i="1"/>
  <c r="AE160" i="1"/>
  <c r="AE51" i="1"/>
  <c r="AE19" i="1"/>
  <c r="S132" i="1"/>
  <c r="S32" i="1"/>
  <c r="S109" i="1"/>
  <c r="S36" i="1"/>
  <c r="S176" i="1"/>
  <c r="AE131" i="1"/>
  <c r="S131" i="1"/>
  <c r="S22" i="1"/>
  <c r="S170" i="1"/>
  <c r="S25" i="1"/>
  <c r="S120" i="1"/>
  <c r="S9" i="1"/>
  <c r="S113" i="1"/>
  <c r="S169" i="1"/>
  <c r="S174" i="1"/>
  <c r="S10" i="1"/>
  <c r="S63" i="1"/>
  <c r="S105" i="1"/>
  <c r="S133" i="1"/>
  <c r="S7" i="1"/>
  <c r="S30" i="1"/>
  <c r="S16" i="1"/>
  <c r="S102" i="1"/>
  <c r="AD149" i="1"/>
  <c r="AD26" i="1"/>
  <c r="I28" i="50" s="1"/>
  <c r="AD94" i="1"/>
  <c r="AD116" i="1"/>
  <c r="AD125" i="1"/>
  <c r="AD97" i="1"/>
  <c r="AD81" i="1"/>
  <c r="AD66" i="1"/>
  <c r="AE66" i="1"/>
  <c r="AE69" i="1"/>
  <c r="AD112" i="1"/>
  <c r="AD53" i="1"/>
  <c r="AE53" i="1"/>
  <c r="AD92" i="1"/>
  <c r="AE92" i="1"/>
  <c r="AE166" i="1"/>
  <c r="AD41" i="1"/>
  <c r="AE162" i="1"/>
  <c r="AD39" i="1"/>
  <c r="AD76" i="1"/>
  <c r="AE76" i="1"/>
  <c r="AD84" i="1"/>
  <c r="AE84" i="1"/>
  <c r="AD143" i="1"/>
  <c r="AE143" i="1"/>
  <c r="AD36" i="1"/>
  <c r="AE36" i="1"/>
  <c r="AD74" i="1"/>
  <c r="AE74" i="1"/>
  <c r="AD124" i="1"/>
  <c r="AE124" i="1"/>
  <c r="AE42" i="1"/>
  <c r="AD61" i="1"/>
  <c r="AD156" i="1"/>
  <c r="AD57" i="1"/>
  <c r="AE15" i="1"/>
  <c r="AD141" i="1"/>
  <c r="AE141" i="1"/>
  <c r="AE33" i="1"/>
  <c r="AD75" i="1"/>
  <c r="AE75" i="1"/>
  <c r="AE130" i="1"/>
  <c r="AD31" i="1"/>
  <c r="AE31" i="1"/>
  <c r="AE171" i="1"/>
  <c r="AD160" i="1"/>
  <c r="AE105" i="1"/>
  <c r="AE71" i="1"/>
  <c r="AD45" i="1"/>
  <c r="AE45" i="1"/>
  <c r="AD67" i="1"/>
  <c r="AE67" i="1"/>
  <c r="AD68" i="1"/>
  <c r="AE68" i="1"/>
  <c r="AD64" i="1"/>
  <c r="AE64" i="1"/>
  <c r="AD93" i="1"/>
  <c r="AE93" i="1"/>
  <c r="AD119" i="1"/>
  <c r="AE119" i="1"/>
  <c r="AD98" i="1"/>
  <c r="AE98" i="1"/>
  <c r="AD110" i="1"/>
  <c r="AE110" i="1"/>
  <c r="AE114" i="1"/>
  <c r="AE138" i="1"/>
  <c r="AE140" i="1"/>
  <c r="AE6" i="1"/>
  <c r="AE85" i="1"/>
  <c r="AE121" i="1"/>
  <c r="AE126" i="1"/>
  <c r="AE158" i="1"/>
  <c r="AE107" i="1"/>
  <c r="AE152" i="1"/>
  <c r="AE133" i="1"/>
  <c r="AE147" i="1"/>
  <c r="AE137" i="1"/>
  <c r="AE177" i="1"/>
  <c r="AE161" i="1"/>
  <c r="AE115" i="1"/>
  <c r="AE127" i="1"/>
  <c r="AE48" i="1"/>
  <c r="AE12" i="1"/>
  <c r="AE28" i="1"/>
  <c r="AE80" i="1"/>
  <c r="AE56" i="1"/>
  <c r="AE87" i="1"/>
  <c r="AE111" i="1"/>
  <c r="AE157" i="1"/>
  <c r="AE122" i="1"/>
  <c r="AE96" i="1"/>
  <c r="AE120" i="1"/>
  <c r="AE136" i="1"/>
  <c r="AE135" i="1"/>
  <c r="AE13" i="1"/>
  <c r="S17" i="1"/>
  <c r="S175" i="1"/>
  <c r="AD33" i="1"/>
  <c r="AD71" i="1"/>
  <c r="AD130" i="1"/>
  <c r="AD27" i="1"/>
  <c r="AD114" i="1"/>
  <c r="AD44" i="1"/>
  <c r="AE44" i="1"/>
  <c r="AD126" i="1"/>
  <c r="AD164" i="1"/>
  <c r="AE164" i="1"/>
  <c r="AE170" i="1"/>
  <c r="AD167" i="1"/>
  <c r="AE167" i="1"/>
  <c r="AD127" i="1"/>
  <c r="AD80" i="1"/>
  <c r="AD157" i="1"/>
  <c r="AD136" i="1"/>
  <c r="AD90" i="1"/>
  <c r="AE90" i="1"/>
  <c r="AE89" i="1"/>
  <c r="AE103" i="1"/>
  <c r="AE163" i="1"/>
  <c r="AE169" i="1"/>
  <c r="AE34" i="1"/>
  <c r="AE38" i="1"/>
  <c r="AE172" i="1"/>
  <c r="AE16" i="1"/>
  <c r="AE83" i="1"/>
  <c r="AE106" i="1"/>
  <c r="AE8" i="1"/>
  <c r="AE63" i="1"/>
  <c r="AE129" i="1"/>
  <c r="AE17" i="1"/>
  <c r="AE132" i="1"/>
  <c r="AE144" i="1"/>
  <c r="AE175" i="1"/>
  <c r="AE155" i="1"/>
  <c r="AE46" i="1"/>
  <c r="AE55" i="1"/>
  <c r="AE23" i="1"/>
  <c r="AE43" i="1"/>
  <c r="AE128" i="1"/>
  <c r="AE176" i="1"/>
  <c r="AD105" i="1"/>
  <c r="AD162" i="1"/>
  <c r="AD133" i="1"/>
  <c r="I166" i="50" s="1"/>
  <c r="AD42" i="1"/>
  <c r="AD175" i="1"/>
  <c r="I179" i="50" s="1"/>
  <c r="AD128" i="1"/>
  <c r="AD15" i="1"/>
  <c r="AD17" i="1"/>
  <c r="AD161" i="1"/>
  <c r="AD8" i="1"/>
  <c r="AD13" i="1"/>
  <c r="I16" i="50" s="1"/>
  <c r="AD138" i="1"/>
  <c r="AD47" i="1"/>
  <c r="AE47" i="1"/>
  <c r="AD158" i="1"/>
  <c r="AE22" i="1"/>
  <c r="AD147" i="1"/>
  <c r="AE54" i="1"/>
  <c r="AE173" i="1"/>
  <c r="AD56" i="1"/>
  <c r="AD122" i="1"/>
  <c r="AD135" i="1"/>
  <c r="AD72" i="1"/>
  <c r="AE72" i="1"/>
  <c r="AD89" i="1"/>
  <c r="AD103" i="1"/>
  <c r="AD163" i="1"/>
  <c r="AD14" i="1"/>
  <c r="AE14" i="1"/>
  <c r="AE109" i="1"/>
  <c r="AD34" i="1"/>
  <c r="AE49" i="1"/>
  <c r="AD38" i="1"/>
  <c r="AE35" i="1"/>
  <c r="AE134" i="1"/>
  <c r="AE70" i="1"/>
  <c r="AE104" i="1"/>
  <c r="AE145" i="1"/>
  <c r="AD18" i="1"/>
  <c r="AE18" i="1"/>
  <c r="AE91" i="1"/>
  <c r="AE82" i="1"/>
  <c r="AD134" i="1"/>
  <c r="I172" i="50" s="1"/>
  <c r="AD51" i="1"/>
  <c r="AD177" i="1"/>
  <c r="AD170" i="1"/>
  <c r="AD146" i="1"/>
  <c r="AD171" i="1"/>
  <c r="AD169" i="1"/>
  <c r="AD69" i="1"/>
  <c r="AD176" i="1"/>
  <c r="AD48" i="1"/>
  <c r="AD54" i="1"/>
  <c r="AD16" i="1"/>
  <c r="AD20" i="1"/>
  <c r="I23" i="50" s="1"/>
  <c r="AD73" i="1"/>
  <c r="AD6" i="1"/>
  <c r="AD140" i="1"/>
  <c r="AD85" i="1"/>
  <c r="AD107" i="1"/>
  <c r="AD88" i="1"/>
  <c r="AE88" i="1"/>
  <c r="AD137" i="1"/>
  <c r="AE168" i="1"/>
  <c r="AD25" i="1"/>
  <c r="AE25" i="1"/>
  <c r="AD87" i="1"/>
  <c r="AD96" i="1"/>
  <c r="AD24" i="1"/>
  <c r="AE24" i="1"/>
  <c r="AE77" i="1"/>
  <c r="AE78" i="1"/>
  <c r="AE108" i="1"/>
  <c r="AD9" i="1"/>
  <c r="AE9" i="1"/>
  <c r="AE113" i="1"/>
  <c r="AD109" i="1"/>
  <c r="AE174" i="1"/>
  <c r="AD49" i="1"/>
  <c r="AD21" i="1"/>
  <c r="AE21" i="1"/>
  <c r="AE79" i="1"/>
  <c r="AD35" i="1"/>
  <c r="AE32" i="1"/>
  <c r="AD62" i="1"/>
  <c r="AE62" i="1"/>
  <c r="AD83" i="1"/>
  <c r="AD95" i="1"/>
  <c r="AE95" i="1"/>
  <c r="AE123" i="1"/>
  <c r="AD145" i="1"/>
  <c r="AE59" i="1"/>
  <c r="AD91" i="1"/>
  <c r="AD129" i="1"/>
  <c r="AD148" i="1"/>
  <c r="AE148" i="1"/>
  <c r="AD153" i="1"/>
  <c r="AE153" i="1"/>
  <c r="AD165" i="1"/>
  <c r="AE165" i="1"/>
  <c r="AD142" i="1"/>
  <c r="AE142" i="1"/>
  <c r="AD100" i="1"/>
  <c r="AE100" i="1"/>
  <c r="AE4" i="1"/>
  <c r="AD7" i="1"/>
  <c r="AE7" i="1"/>
  <c r="AG7" i="1" s="1"/>
  <c r="AD132" i="1"/>
  <c r="AD144" i="1"/>
  <c r="AE30" i="1"/>
  <c r="AD155" i="1"/>
  <c r="AD46" i="1"/>
  <c r="AD55" i="1"/>
  <c r="AD23" i="1"/>
  <c r="AD43" i="1"/>
  <c r="AD99" i="1"/>
  <c r="AE99" i="1"/>
  <c r="AD102" i="1"/>
  <c r="AE102" i="1"/>
  <c r="AD63" i="1"/>
  <c r="AD150" i="1"/>
  <c r="AD12" i="1"/>
  <c r="AD174" i="1"/>
  <c r="AD106" i="1"/>
  <c r="AD173" i="1"/>
  <c r="AD131" i="1"/>
  <c r="AD40" i="1"/>
  <c r="AE40" i="1"/>
  <c r="AD121" i="1"/>
  <c r="AD139" i="1"/>
  <c r="AE139" i="1"/>
  <c r="AD86" i="1"/>
  <c r="AE86" i="1"/>
  <c r="AD154" i="1"/>
  <c r="AE154" i="1"/>
  <c r="AD29" i="1"/>
  <c r="AE29" i="1"/>
  <c r="AD28" i="1"/>
  <c r="AD111" i="1"/>
  <c r="AD120" i="1"/>
  <c r="AD52" i="1"/>
  <c r="AE52" i="1"/>
  <c r="AD77" i="1"/>
  <c r="AD78" i="1"/>
  <c r="AD108" i="1"/>
  <c r="AD118" i="1"/>
  <c r="AE118" i="1"/>
  <c r="AD113" i="1"/>
  <c r="AD65" i="1"/>
  <c r="AE65" i="1"/>
  <c r="AD151" i="1"/>
  <c r="AE151" i="1"/>
  <c r="AD37" i="1"/>
  <c r="AE37" i="1"/>
  <c r="AD159" i="1"/>
  <c r="AE159" i="1"/>
  <c r="AD79" i="1"/>
  <c r="AD10" i="1"/>
  <c r="AE10" i="1"/>
  <c r="AD50" i="1"/>
  <c r="AE50" i="1"/>
  <c r="AD70" i="1"/>
  <c r="AD101" i="1"/>
  <c r="AE101" i="1"/>
  <c r="AE11" i="1"/>
  <c r="AD123" i="1"/>
  <c r="AD60" i="1"/>
  <c r="AE60" i="1"/>
  <c r="AD59" i="1"/>
  <c r="AD82" i="1"/>
  <c r="AD117" i="1"/>
  <c r="AE117" i="1"/>
  <c r="AD30" i="1"/>
  <c r="AD4" i="1"/>
  <c r="AD172" i="1"/>
  <c r="I174" i="50" s="1"/>
  <c r="AD22" i="1"/>
  <c r="AD32" i="1"/>
  <c r="AD166" i="1"/>
  <c r="AD152" i="1"/>
  <c r="AD115" i="1"/>
  <c r="AD168" i="1"/>
  <c r="AD5" i="1"/>
  <c r="AD11" i="1"/>
  <c r="AD19" i="1"/>
  <c r="AD104" i="1"/>
  <c r="H13" i="50" l="1"/>
  <c r="H10" i="50"/>
  <c r="I22" i="50"/>
  <c r="I56" i="50"/>
  <c r="I103" i="50"/>
  <c r="I157" i="50"/>
  <c r="I178" i="50"/>
  <c r="I177" i="50"/>
  <c r="I138" i="50"/>
  <c r="I81" i="50"/>
  <c r="I181" i="50"/>
  <c r="I68" i="50"/>
  <c r="I48" i="50"/>
  <c r="I109" i="50"/>
  <c r="I93" i="50"/>
  <c r="I14" i="50"/>
  <c r="I167" i="50"/>
  <c r="I146" i="50"/>
  <c r="I76" i="50"/>
  <c r="I84" i="50"/>
  <c r="I127" i="50"/>
  <c r="I102" i="50"/>
  <c r="I128" i="50"/>
  <c r="I24" i="50"/>
  <c r="I171" i="50"/>
  <c r="I158" i="50"/>
  <c r="I53" i="50"/>
  <c r="I34" i="50"/>
  <c r="I26" i="50"/>
  <c r="I27" i="50"/>
  <c r="I132" i="50"/>
  <c r="I25" i="50"/>
  <c r="I116" i="50"/>
  <c r="I17" i="50"/>
  <c r="I20" i="50"/>
  <c r="I71" i="50"/>
  <c r="I161" i="50"/>
  <c r="I126" i="50"/>
  <c r="I141" i="50"/>
  <c r="I60" i="50"/>
  <c r="I96" i="50"/>
  <c r="I73" i="50"/>
  <c r="I112" i="50"/>
  <c r="I131" i="50"/>
  <c r="I83" i="50"/>
  <c r="I175" i="50"/>
  <c r="I33" i="50"/>
  <c r="I155" i="50"/>
  <c r="I151" i="50"/>
  <c r="I99" i="50"/>
  <c r="I18" i="50"/>
  <c r="I163" i="50"/>
  <c r="I36" i="50"/>
  <c r="I176" i="50"/>
  <c r="I136" i="50"/>
  <c r="I9" i="50"/>
  <c r="I169" i="50"/>
  <c r="I173" i="50"/>
  <c r="I159" i="50"/>
  <c r="I122" i="50"/>
  <c r="I29" i="50"/>
  <c r="I91" i="50"/>
  <c r="I8" i="50"/>
  <c r="I39" i="50"/>
  <c r="I180" i="50"/>
  <c r="I21" i="50"/>
  <c r="I70" i="50"/>
  <c r="I101" i="50"/>
  <c r="I13" i="50"/>
  <c r="I30" i="50"/>
  <c r="I15" i="50"/>
  <c r="I10" i="50"/>
  <c r="I12" i="50"/>
  <c r="I19" i="50"/>
  <c r="I170" i="50"/>
  <c r="I11" i="50"/>
  <c r="I164" i="50"/>
  <c r="I61" i="50"/>
  <c r="I45" i="50"/>
  <c r="I54" i="50"/>
  <c r="I64" i="50"/>
  <c r="I58" i="50"/>
  <c r="I152" i="50"/>
  <c r="I107" i="50"/>
  <c r="I88" i="50"/>
  <c r="I123" i="50"/>
  <c r="I69" i="50"/>
  <c r="I106" i="50"/>
  <c r="I38" i="50"/>
  <c r="I92" i="50"/>
  <c r="I97" i="50"/>
  <c r="I41" i="50"/>
  <c r="I78" i="50"/>
  <c r="I137" i="50"/>
  <c r="I51" i="50"/>
  <c r="I113" i="50"/>
  <c r="I144" i="50"/>
  <c r="I47" i="50"/>
  <c r="I162" i="50"/>
  <c r="I147" i="50"/>
  <c r="I67" i="50"/>
  <c r="I124" i="50"/>
  <c r="I94" i="50"/>
  <c r="I72" i="50"/>
  <c r="I74" i="50"/>
  <c r="I75" i="50"/>
  <c r="I42" i="50"/>
  <c r="I98" i="50"/>
  <c r="I139" i="50"/>
  <c r="I85" i="50"/>
  <c r="I43" i="50"/>
  <c r="I62" i="50"/>
  <c r="I31" i="50"/>
  <c r="I111" i="50"/>
  <c r="I57" i="50"/>
  <c r="I77" i="50"/>
  <c r="I63" i="50"/>
  <c r="I104" i="50"/>
  <c r="I50" i="50"/>
  <c r="I117" i="50"/>
  <c r="I143" i="50"/>
  <c r="I145" i="50"/>
  <c r="I89" i="50"/>
  <c r="I105" i="50"/>
  <c r="I86" i="50"/>
  <c r="I52" i="50"/>
  <c r="I37" i="50"/>
  <c r="I87" i="50"/>
  <c r="I118" i="50"/>
  <c r="I140" i="50"/>
  <c r="I46" i="50"/>
  <c r="I160" i="50"/>
  <c r="I150" i="50"/>
  <c r="I66" i="50"/>
  <c r="I44" i="50"/>
  <c r="I135" i="50"/>
  <c r="I59" i="50"/>
  <c r="I40" i="50"/>
  <c r="I121" i="50"/>
  <c r="I142" i="50"/>
  <c r="I49" i="50"/>
  <c r="I148" i="50"/>
  <c r="I115" i="50"/>
  <c r="I65" i="50"/>
  <c r="I55" i="50"/>
  <c r="I108" i="50"/>
  <c r="I79" i="50"/>
  <c r="I165" i="50"/>
  <c r="I80" i="50"/>
  <c r="I119" i="50"/>
  <c r="I114" i="50"/>
  <c r="I133" i="50"/>
  <c r="I168" i="50"/>
  <c r="I125" i="50"/>
  <c r="I134" i="50"/>
  <c r="I100" i="50"/>
  <c r="I129" i="50"/>
  <c r="I154" i="50"/>
  <c r="I130" i="50"/>
  <c r="I156" i="50"/>
  <c r="I110" i="50"/>
  <c r="I32" i="50"/>
  <c r="I153" i="50"/>
  <c r="I149" i="50"/>
  <c r="I120" i="50"/>
  <c r="I35" i="50"/>
  <c r="I82" i="50"/>
  <c r="I90" i="50"/>
  <c r="I95" i="50"/>
  <c r="H48" i="50"/>
  <c r="H164" i="50"/>
  <c r="H97" i="50"/>
  <c r="H93" i="50"/>
  <c r="H24" i="50"/>
  <c r="H104" i="50"/>
  <c r="H101" i="50"/>
  <c r="H17" i="50"/>
  <c r="H179" i="50"/>
  <c r="H81" i="50"/>
  <c r="H130" i="50"/>
  <c r="H78" i="50"/>
  <c r="H131" i="50"/>
  <c r="H83" i="50"/>
  <c r="H73" i="50"/>
  <c r="H72" i="50"/>
  <c r="H137" i="50"/>
  <c r="H74" i="50"/>
  <c r="H51" i="50"/>
  <c r="H64" i="50"/>
  <c r="H22" i="50"/>
  <c r="H143" i="50"/>
  <c r="H23" i="50"/>
  <c r="H108" i="50"/>
  <c r="H121" i="50"/>
  <c r="H28" i="50"/>
  <c r="H58" i="50"/>
  <c r="H152" i="50"/>
  <c r="H98" i="50"/>
  <c r="H141" i="50"/>
  <c r="H162" i="50"/>
  <c r="H109" i="50"/>
  <c r="H167" i="50"/>
  <c r="H68" i="50"/>
  <c r="H70" i="50"/>
  <c r="H163" i="50"/>
  <c r="H53" i="50"/>
  <c r="H61" i="50"/>
  <c r="H88" i="50"/>
  <c r="H43" i="50"/>
  <c r="H116" i="50"/>
  <c r="H111" i="50"/>
  <c r="H9" i="50"/>
  <c r="H115" i="50"/>
  <c r="H65" i="50"/>
  <c r="H69" i="50"/>
  <c r="H18" i="50"/>
  <c r="H41" i="50"/>
  <c r="H158" i="50"/>
  <c r="H49" i="50"/>
  <c r="H55" i="50"/>
  <c r="H38" i="50"/>
  <c r="H56" i="50"/>
  <c r="H29" i="50"/>
  <c r="H142" i="50"/>
  <c r="H8" i="50"/>
  <c r="H114" i="50"/>
  <c r="H147" i="50"/>
  <c r="H133" i="50"/>
  <c r="H168" i="50"/>
  <c r="H12" i="50"/>
  <c r="H75" i="50"/>
  <c r="H172" i="50"/>
  <c r="H176" i="50"/>
  <c r="H124" i="50"/>
  <c r="H45" i="50"/>
  <c r="H128" i="50"/>
  <c r="H11" i="50"/>
  <c r="H174" i="50"/>
  <c r="H155" i="50"/>
  <c r="H156" i="50"/>
  <c r="H16" i="50"/>
  <c r="H94" i="50"/>
  <c r="H85" i="50"/>
  <c r="H15" i="50"/>
  <c r="H160" i="50"/>
  <c r="H166" i="50"/>
  <c r="H122" i="50"/>
  <c r="H134" i="50"/>
  <c r="H173" i="50"/>
  <c r="H32" i="50"/>
  <c r="H120" i="50"/>
  <c r="H35" i="50"/>
  <c r="H82" i="50"/>
  <c r="H90" i="50"/>
  <c r="H127" i="50"/>
  <c r="H153" i="50"/>
  <c r="H149" i="50"/>
  <c r="H175" i="50"/>
  <c r="H79" i="50"/>
  <c r="H112" i="50"/>
  <c r="H14" i="50"/>
  <c r="H84" i="50"/>
  <c r="H165" i="50"/>
  <c r="H89" i="50"/>
  <c r="H25" i="50"/>
  <c r="H125" i="50"/>
  <c r="H33" i="50"/>
  <c r="H87" i="50"/>
  <c r="H150" i="50"/>
  <c r="H123" i="50"/>
  <c r="H103" i="50"/>
  <c r="H110" i="50"/>
  <c r="H171" i="50"/>
  <c r="H113" i="50"/>
  <c r="H99" i="50"/>
  <c r="H144" i="50"/>
  <c r="H39" i="50"/>
  <c r="H157" i="50"/>
  <c r="H57" i="50"/>
  <c r="H76" i="50"/>
  <c r="H21" i="50"/>
  <c r="H47" i="50"/>
  <c r="H180" i="50"/>
  <c r="H138" i="50"/>
  <c r="H19" i="50"/>
  <c r="H169" i="50"/>
  <c r="H170" i="50"/>
  <c r="H107" i="50"/>
  <c r="H30" i="50"/>
  <c r="H140" i="50"/>
  <c r="H151" i="50"/>
  <c r="H106" i="50"/>
  <c r="H62" i="50"/>
  <c r="H31" i="50"/>
  <c r="H36" i="50"/>
  <c r="H63" i="50"/>
  <c r="H50" i="50"/>
  <c r="H178" i="50"/>
  <c r="H136" i="50"/>
  <c r="H145" i="50"/>
  <c r="H119" i="50"/>
  <c r="H60" i="50"/>
  <c r="H77" i="50"/>
  <c r="H177" i="50"/>
  <c r="H26" i="50"/>
  <c r="H27" i="50"/>
  <c r="H86" i="50"/>
  <c r="H80" i="50"/>
  <c r="H139" i="50"/>
  <c r="H34" i="50"/>
  <c r="H105" i="50"/>
  <c r="H52" i="50"/>
  <c r="H46" i="50"/>
  <c r="H42" i="50"/>
  <c r="H148" i="50"/>
  <c r="H20" i="50"/>
  <c r="H102" i="50"/>
  <c r="H37" i="50"/>
  <c r="H100" i="50"/>
  <c r="H159" i="50"/>
  <c r="H129" i="50"/>
  <c r="H118" i="50"/>
  <c r="H54" i="50"/>
  <c r="H161" i="50"/>
  <c r="H181" i="50"/>
  <c r="H146" i="50"/>
  <c r="H117" i="50"/>
  <c r="H132" i="50"/>
  <c r="H96" i="50"/>
  <c r="H91" i="50"/>
  <c r="H66" i="50"/>
  <c r="H44" i="50"/>
  <c r="H126" i="50"/>
  <c r="H135" i="50"/>
  <c r="H154" i="50"/>
  <c r="H67" i="50"/>
  <c r="H71" i="50"/>
  <c r="H59" i="50"/>
  <c r="H40" i="50"/>
  <c r="H95" i="50"/>
  <c r="H92" i="50"/>
  <c r="AG36" i="1"/>
  <c r="AG156" i="1"/>
  <c r="AG153" i="1"/>
  <c r="AG93" i="1"/>
  <c r="AG99" i="1"/>
  <c r="J10" i="50"/>
  <c r="G88" i="6"/>
  <c r="AG100" i="1"/>
  <c r="AG113" i="1"/>
  <c r="AG72" i="1"/>
  <c r="AG147" i="1"/>
  <c r="AG6" i="1"/>
  <c r="J9" i="50" s="1"/>
  <c r="H22" i="6"/>
  <c r="I10" i="48" s="1"/>
  <c r="AG59" i="1"/>
  <c r="AW116" i="1"/>
  <c r="AW88" i="1"/>
  <c r="AW134" i="1"/>
  <c r="AW125" i="1"/>
  <c r="AW70" i="1"/>
  <c r="AW171" i="1"/>
  <c r="AW42" i="1"/>
  <c r="AW140" i="1"/>
  <c r="AW162" i="1"/>
  <c r="AW77" i="1"/>
  <c r="AW53" i="1"/>
  <c r="AW38" i="1"/>
  <c r="AW41" i="1"/>
  <c r="AW165" i="1"/>
  <c r="AW139" i="1"/>
  <c r="AW138" i="1"/>
  <c r="AW153" i="1"/>
  <c r="AW79" i="1"/>
  <c r="AW146" i="1"/>
  <c r="AW107" i="1"/>
  <c r="AW75" i="1"/>
  <c r="AW148" i="1"/>
  <c r="AW64" i="1"/>
  <c r="AW37" i="1"/>
  <c r="AW124" i="1"/>
  <c r="AW62" i="1"/>
  <c r="AW112" i="1"/>
  <c r="AW172" i="1"/>
  <c r="AW44" i="1"/>
  <c r="AG30" i="1"/>
  <c r="AG11" i="1"/>
  <c r="J14" i="50" s="1"/>
  <c r="AG21" i="1"/>
  <c r="J24" i="50" s="1"/>
  <c r="AG24" i="1"/>
  <c r="J26" i="50" s="1"/>
  <c r="AG13" i="1"/>
  <c r="J16" i="50" s="1"/>
  <c r="AG14" i="1"/>
  <c r="J17" i="50" s="1"/>
  <c r="AG9" i="1"/>
  <c r="J12" i="50" s="1"/>
  <c r="AG17" i="1"/>
  <c r="J20" i="50" s="1"/>
  <c r="AG57" i="1"/>
  <c r="AG20" i="1"/>
  <c r="J23" i="50" s="1"/>
  <c r="AG142" i="1"/>
  <c r="AG148" i="1"/>
  <c r="AG123" i="1"/>
  <c r="AG128" i="1"/>
  <c r="AG16" i="1"/>
  <c r="J19" i="50" s="1"/>
  <c r="AG19" i="1"/>
  <c r="J22" i="50" s="1"/>
  <c r="AG150" i="1"/>
  <c r="AG146" i="1"/>
  <c r="AG172" i="1"/>
  <c r="AG120" i="1"/>
  <c r="AG31" i="1"/>
  <c r="AG75" i="1"/>
  <c r="AG88" i="1"/>
  <c r="AG70" i="1"/>
  <c r="AG43" i="1"/>
  <c r="AG171" i="1"/>
  <c r="H30" i="6" s="1"/>
  <c r="AG130" i="1"/>
  <c r="AG33" i="1"/>
  <c r="AG32" i="1"/>
  <c r="AG108" i="1"/>
  <c r="AG71" i="1"/>
  <c r="AG18" i="1"/>
  <c r="J21" i="50" s="1"/>
  <c r="AG49" i="1"/>
  <c r="AG86" i="1"/>
  <c r="AG28" i="1"/>
  <c r="J30" i="50" s="1"/>
  <c r="AG107" i="1"/>
  <c r="AG85" i="1"/>
  <c r="AG138" i="1"/>
  <c r="AG98" i="1"/>
  <c r="AG10" i="1"/>
  <c r="J13" i="50" s="1"/>
  <c r="AG25" i="1"/>
  <c r="J27" i="50" s="1"/>
  <c r="AG151" i="1"/>
  <c r="AG46" i="1"/>
  <c r="AG132" i="1"/>
  <c r="AG8" i="1"/>
  <c r="J11" i="50" s="1"/>
  <c r="AG90" i="1"/>
  <c r="AG170" i="1"/>
  <c r="J170" i="50" s="1"/>
  <c r="AG44" i="1"/>
  <c r="AG135" i="1"/>
  <c r="AG96" i="1"/>
  <c r="AG87" i="1"/>
  <c r="AG15" i="1"/>
  <c r="J18" i="50" s="1"/>
  <c r="AG143" i="1"/>
  <c r="AG76" i="1"/>
  <c r="AG37" i="1"/>
  <c r="AG118" i="1"/>
  <c r="AG154" i="1"/>
  <c r="AG40" i="1"/>
  <c r="AG62" i="1"/>
  <c r="AG23" i="1"/>
  <c r="J25" i="50" s="1"/>
  <c r="AG155" i="1"/>
  <c r="AG163" i="1"/>
  <c r="AG164" i="1"/>
  <c r="AG68" i="1"/>
  <c r="AG45" i="1"/>
  <c r="AG141" i="1"/>
  <c r="AG124" i="1"/>
  <c r="AG50" i="1"/>
  <c r="AG52" i="1"/>
  <c r="AG139" i="1"/>
  <c r="AG77" i="1"/>
  <c r="G85" i="6"/>
  <c r="AG145" i="1"/>
  <c r="AG109" i="1"/>
  <c r="AG55" i="1"/>
  <c r="AG129" i="1"/>
  <c r="AG83" i="1"/>
  <c r="AG38" i="1"/>
  <c r="AG103" i="1"/>
  <c r="AG167" i="1"/>
  <c r="AG157" i="1"/>
  <c r="AG80" i="1"/>
  <c r="AG126" i="1"/>
  <c r="AG110" i="1"/>
  <c r="AG119" i="1"/>
  <c r="AG84" i="1"/>
  <c r="AG92" i="1"/>
  <c r="AG61" i="1"/>
  <c r="AG27" i="1"/>
  <c r="J29" i="50" s="1"/>
  <c r="AG149" i="1"/>
  <c r="AG53" i="1"/>
  <c r="AG66" i="1"/>
  <c r="AG73" i="1"/>
  <c r="AG41" i="1"/>
  <c r="AG97" i="1"/>
  <c r="AG94" i="1"/>
  <c r="AG78" i="1"/>
  <c r="AG136" i="1"/>
  <c r="AG122" i="1"/>
  <c r="AG56" i="1"/>
  <c r="AG158" i="1"/>
  <c r="J151" i="50" s="1"/>
  <c r="AG114" i="1"/>
  <c r="AG39" i="1"/>
  <c r="AG112" i="1"/>
  <c r="AG125" i="1"/>
  <c r="AG26" i="1"/>
  <c r="J28" i="50" s="1"/>
  <c r="AG95" i="1"/>
  <c r="AG79" i="1"/>
  <c r="AG82" i="1"/>
  <c r="AG35" i="1"/>
  <c r="AG117" i="1"/>
  <c r="AG60" i="1"/>
  <c r="AG101" i="1"/>
  <c r="AG159" i="1"/>
  <c r="AG165" i="1"/>
  <c r="AG91" i="1"/>
  <c r="AG104" i="1"/>
  <c r="AG47" i="1"/>
  <c r="AG144" i="1"/>
  <c r="AG34" i="1"/>
  <c r="AG89" i="1"/>
  <c r="AG111" i="1"/>
  <c r="AG127" i="1"/>
  <c r="AG137" i="1"/>
  <c r="AG121" i="1"/>
  <c r="AG140" i="1"/>
  <c r="AG64" i="1"/>
  <c r="AG67" i="1"/>
  <c r="AG74" i="1"/>
  <c r="AG131" i="1"/>
  <c r="AG160" i="1"/>
  <c r="AG81" i="1"/>
  <c r="AG116" i="1"/>
  <c r="AG29" i="1"/>
  <c r="AG175" i="1"/>
  <c r="J179" i="50" s="1"/>
  <c r="AG105" i="1"/>
  <c r="J173" i="50" s="1"/>
  <c r="AG4" i="1"/>
  <c r="AG168" i="1"/>
  <c r="AG54" i="1"/>
  <c r="AG12" i="1"/>
  <c r="AG106" i="1"/>
  <c r="G40" i="6" s="1"/>
  <c r="AG48" i="1"/>
  <c r="E27" i="6" s="1"/>
  <c r="AG161" i="1"/>
  <c r="AG166" i="1"/>
  <c r="AG69" i="1"/>
  <c r="G87" i="6"/>
  <c r="AG102" i="1"/>
  <c r="AG169" i="1"/>
  <c r="J169" i="50" s="1"/>
  <c r="AG65" i="1"/>
  <c r="AG174" i="1"/>
  <c r="J177" i="50" s="1"/>
  <c r="AG134" i="1"/>
  <c r="J172" i="50" s="1"/>
  <c r="AG22" i="1"/>
  <c r="AG63" i="1"/>
  <c r="AG177" i="1"/>
  <c r="J181" i="50" s="1"/>
  <c r="AG133" i="1"/>
  <c r="G84" i="6"/>
  <c r="G34" i="6"/>
  <c r="G74" i="1"/>
  <c r="AG173" i="1"/>
  <c r="J176" i="50" s="1"/>
  <c r="AG176" i="1"/>
  <c r="J180" i="50" s="1"/>
  <c r="AG115" i="1"/>
  <c r="AG152" i="1"/>
  <c r="AG42" i="1"/>
  <c r="AG162" i="1"/>
  <c r="AG51" i="1"/>
  <c r="G71" i="1"/>
  <c r="G94" i="1"/>
  <c r="G99" i="1"/>
  <c r="G104" i="1"/>
  <c r="G67" i="1"/>
  <c r="G57" i="1"/>
  <c r="G106" i="1"/>
  <c r="G102" i="1"/>
  <c r="U102" i="1"/>
  <c r="AU102" i="1"/>
  <c r="U174" i="1"/>
  <c r="G174" i="1"/>
  <c r="E177" i="50" s="1"/>
  <c r="AU174" i="1"/>
  <c r="G113" i="1"/>
  <c r="AU113" i="1"/>
  <c r="U113" i="1"/>
  <c r="G25" i="1"/>
  <c r="E27" i="50" s="1"/>
  <c r="AU25" i="1"/>
  <c r="U25" i="1"/>
  <c r="G32" i="1"/>
  <c r="AU32" i="1"/>
  <c r="U32" i="1"/>
  <c r="AU114" i="1"/>
  <c r="U114" i="1"/>
  <c r="G114" i="1"/>
  <c r="U14" i="1"/>
  <c r="G14" i="1"/>
  <c r="E17" i="50" s="1"/>
  <c r="AU14" i="1"/>
  <c r="AG5" i="1"/>
  <c r="J8" i="50" s="1"/>
  <c r="AU39" i="1"/>
  <c r="U39" i="1"/>
  <c r="G39" i="1"/>
  <c r="AM127" i="1"/>
  <c r="O127" i="1"/>
  <c r="O54" i="1"/>
  <c r="O26" i="1"/>
  <c r="G28" i="50" s="1"/>
  <c r="AU17" i="1"/>
  <c r="G17" i="1"/>
  <c r="E20" i="50" s="1"/>
  <c r="U17" i="1"/>
  <c r="U16" i="1"/>
  <c r="G16" i="1"/>
  <c r="E19" i="50" s="1"/>
  <c r="AU16" i="1"/>
  <c r="U7" i="1"/>
  <c r="G7" i="1"/>
  <c r="E10" i="50" s="1"/>
  <c r="AU7" i="1"/>
  <c r="AU105" i="1"/>
  <c r="G105" i="1"/>
  <c r="E173" i="50" s="1"/>
  <c r="U105" i="1"/>
  <c r="AU63" i="1"/>
  <c r="U63" i="1"/>
  <c r="G63" i="1"/>
  <c r="G9" i="1"/>
  <c r="E12" i="50" s="1"/>
  <c r="AU9" i="1"/>
  <c r="U9" i="1"/>
  <c r="U22" i="1"/>
  <c r="AU22" i="1"/>
  <c r="G22" i="1"/>
  <c r="AU176" i="1"/>
  <c r="U176" i="1"/>
  <c r="AU109" i="1"/>
  <c r="G109" i="1"/>
  <c r="U109" i="1"/>
  <c r="AU130" i="1"/>
  <c r="U130" i="1"/>
  <c r="G130" i="1"/>
  <c r="U4" i="1"/>
  <c r="AU4" i="1"/>
  <c r="G4" i="1"/>
  <c r="O61" i="1"/>
  <c r="G10" i="1"/>
  <c r="E13" i="50" s="1"/>
  <c r="AU10" i="1"/>
  <c r="U10" i="1"/>
  <c r="G131" i="1"/>
  <c r="AU131" i="1"/>
  <c r="U131" i="1"/>
  <c r="AU132" i="1"/>
  <c r="G132" i="1"/>
  <c r="U132" i="1"/>
  <c r="AU128" i="1"/>
  <c r="U128" i="1"/>
  <c r="G128" i="1"/>
  <c r="AU65" i="1"/>
  <c r="G65" i="1"/>
  <c r="U65" i="1"/>
  <c r="G177" i="1"/>
  <c r="E181" i="50" s="1"/>
  <c r="AU177" i="1"/>
  <c r="U177" i="1"/>
  <c r="AU144" i="1"/>
  <c r="U144" i="1"/>
  <c r="G144" i="1"/>
  <c r="AU34" i="1"/>
  <c r="U34" i="1"/>
  <c r="G34" i="1"/>
  <c r="AU129" i="1"/>
  <c r="G129" i="1"/>
  <c r="U129" i="1"/>
  <c r="O51" i="1"/>
  <c r="O164" i="1"/>
  <c r="AU175" i="1"/>
  <c r="U175" i="1"/>
  <c r="G175" i="1"/>
  <c r="E179" i="50" s="1"/>
  <c r="U30" i="1"/>
  <c r="AU30" i="1"/>
  <c r="G30" i="1"/>
  <c r="E178" i="50" s="1"/>
  <c r="AU133" i="1"/>
  <c r="U133" i="1"/>
  <c r="G133" i="1"/>
  <c r="E166" i="50" s="1"/>
  <c r="G169" i="1"/>
  <c r="E169" i="50" s="1"/>
  <c r="AU169" i="1"/>
  <c r="U169" i="1"/>
  <c r="AU120" i="1"/>
  <c r="U120" i="1"/>
  <c r="G120" i="1"/>
  <c r="AU170" i="1"/>
  <c r="G170" i="1"/>
  <c r="E170" i="50" s="1"/>
  <c r="U170" i="1"/>
  <c r="AU36" i="1"/>
  <c r="U36" i="1"/>
  <c r="G36" i="1"/>
  <c r="U27" i="1"/>
  <c r="G27" i="1"/>
  <c r="E29" i="50" s="1"/>
  <c r="AU27" i="1"/>
  <c r="AU33" i="1"/>
  <c r="U33" i="1"/>
  <c r="G33" i="1"/>
  <c r="G12" i="1"/>
  <c r="E15" i="50" s="1"/>
  <c r="U12" i="1"/>
  <c r="AU12" i="1"/>
  <c r="G92" i="1"/>
  <c r="U92" i="1"/>
  <c r="AU92" i="1"/>
  <c r="AU163" i="1"/>
  <c r="G163" i="1"/>
  <c r="U163" i="1"/>
  <c r="O91" i="1"/>
  <c r="O98" i="1"/>
  <c r="AM98" i="1"/>
  <c r="O80" i="1"/>
  <c r="AU155" i="1"/>
  <c r="G155" i="1"/>
  <c r="G136" i="1"/>
  <c r="AU136" i="1"/>
  <c r="U119" i="1"/>
  <c r="AU119" i="1"/>
  <c r="G88" i="1"/>
  <c r="AU72" i="1"/>
  <c r="G72" i="1"/>
  <c r="AU49" i="1"/>
  <c r="U49" i="1"/>
  <c r="O60" i="1"/>
  <c r="U55" i="1"/>
  <c r="AU55" i="1"/>
  <c r="G46" i="1"/>
  <c r="G153" i="1"/>
  <c r="U115" i="1"/>
  <c r="AU115" i="1"/>
  <c r="U167" i="1"/>
  <c r="G167" i="1"/>
  <c r="G123" i="1"/>
  <c r="AU123" i="1"/>
  <c r="AU158" i="1"/>
  <c r="U158" i="1"/>
  <c r="G141" i="1"/>
  <c r="U141" i="1"/>
  <c r="AU141" i="1"/>
  <c r="G97" i="1"/>
  <c r="G139" i="1"/>
  <c r="AU157" i="1"/>
  <c r="G157" i="1"/>
  <c r="AU28" i="1"/>
  <c r="G28" i="1"/>
  <c r="E30" i="50" s="1"/>
  <c r="G66" i="1"/>
  <c r="AU66" i="1"/>
  <c r="AU117" i="1"/>
  <c r="G117" i="1"/>
  <c r="U90" i="1"/>
  <c r="AU90" i="1"/>
  <c r="G90" i="1"/>
  <c r="G166" i="1"/>
  <c r="G49" i="1"/>
  <c r="G116" i="1"/>
  <c r="AU62" i="1"/>
  <c r="AU153" i="1"/>
  <c r="U103" i="1"/>
  <c r="AU88" i="1"/>
  <c r="AU164" i="1"/>
  <c r="G15" i="1"/>
  <c r="E18" i="50" s="1"/>
  <c r="U48" i="1"/>
  <c r="U123" i="1"/>
  <c r="G158" i="1"/>
  <c r="G161" i="1"/>
  <c r="G124" i="1"/>
  <c r="U104" i="1"/>
  <c r="U89" i="1"/>
  <c r="AU42" i="1"/>
  <c r="U84" i="1"/>
  <c r="AU172" i="1"/>
  <c r="U54" i="1"/>
  <c r="G68" i="1"/>
  <c r="AU79" i="1"/>
  <c r="AU23" i="1"/>
  <c r="AU26" i="1"/>
  <c r="G55" i="1"/>
  <c r="G6" i="1"/>
  <c r="E9" i="50" s="1"/>
  <c r="U98" i="1"/>
  <c r="U46" i="1"/>
  <c r="U47" i="1"/>
  <c r="U154" i="1"/>
  <c r="G18" i="1"/>
  <c r="E21" i="50" s="1"/>
  <c r="U59" i="1"/>
  <c r="AU125" i="1"/>
  <c r="U82" i="1"/>
  <c r="U31" i="1"/>
  <c r="G96" i="1"/>
  <c r="U40" i="1"/>
  <c r="G11" i="1"/>
  <c r="E14" i="50" s="1"/>
  <c r="U97" i="1"/>
  <c r="G13" i="1"/>
  <c r="E16" i="50" s="1"/>
  <c r="AU146" i="1"/>
  <c r="AM23" i="1"/>
  <c r="AN23" i="1" s="1"/>
  <c r="AU134" i="1"/>
  <c r="G108" i="1"/>
  <c r="U166" i="1"/>
  <c r="AU150" i="1"/>
  <c r="U150" i="1"/>
  <c r="AU21" i="1"/>
  <c r="G21" i="1"/>
  <c r="E24" i="50" s="1"/>
  <c r="U21" i="1"/>
  <c r="G151" i="1"/>
  <c r="AU151" i="1"/>
  <c r="U73" i="1"/>
  <c r="G73" i="1"/>
  <c r="AU73" i="1"/>
  <c r="U142" i="1"/>
  <c r="AU142" i="1"/>
  <c r="AU143" i="1"/>
  <c r="G143" i="1"/>
  <c r="U143" i="1"/>
  <c r="U61" i="1"/>
  <c r="AU61" i="1"/>
  <c r="G159" i="1"/>
  <c r="G83" i="1"/>
  <c r="U83" i="1"/>
  <c r="AU83" i="1"/>
  <c r="G50" i="1"/>
  <c r="E48" i="50" s="1"/>
  <c r="U50" i="1"/>
  <c r="AU50" i="1"/>
  <c r="O47" i="1"/>
  <c r="AM47" i="1"/>
  <c r="G85" i="1"/>
  <c r="AU85" i="1"/>
  <c r="AU147" i="1"/>
  <c r="U147" i="1"/>
  <c r="AU86" i="1"/>
  <c r="G86" i="1"/>
  <c r="U86" i="1"/>
  <c r="O100" i="1"/>
  <c r="G48" i="1"/>
  <c r="G31" i="1"/>
  <c r="G43" i="1"/>
  <c r="G152" i="1"/>
  <c r="AU152" i="1"/>
  <c r="G111" i="1"/>
  <c r="AU111" i="1"/>
  <c r="U111" i="1"/>
  <c r="G121" i="1"/>
  <c r="AU121" i="1"/>
  <c r="G142" i="1"/>
  <c r="G103" i="1"/>
  <c r="G62" i="1"/>
  <c r="E60" i="50" s="1"/>
  <c r="U122" i="1"/>
  <c r="U57" i="1"/>
  <c r="U135" i="1"/>
  <c r="U96" i="1"/>
  <c r="U94" i="1"/>
  <c r="AU44" i="1"/>
  <c r="U164" i="1"/>
  <c r="AU124" i="1"/>
  <c r="G42" i="1"/>
  <c r="U136" i="1"/>
  <c r="U60" i="1"/>
  <c r="AU112" i="1"/>
  <c r="G172" i="1"/>
  <c r="U68" i="1"/>
  <c r="G79" i="1"/>
  <c r="U23" i="1"/>
  <c r="U26" i="1"/>
  <c r="AU64" i="1"/>
  <c r="U6" i="1"/>
  <c r="U78" i="1"/>
  <c r="AU80" i="1"/>
  <c r="AU41" i="1"/>
  <c r="AU38" i="1"/>
  <c r="AU93" i="1"/>
  <c r="U85" i="1"/>
  <c r="U155" i="1"/>
  <c r="G135" i="1"/>
  <c r="U43" i="1"/>
  <c r="U71" i="1"/>
  <c r="U108" i="1"/>
  <c r="U161" i="1"/>
  <c r="U13" i="1"/>
  <c r="G146" i="1"/>
  <c r="E175" i="50" s="1"/>
  <c r="U173" i="1"/>
  <c r="G134" i="1"/>
  <c r="E172" i="50" s="1"/>
  <c r="G137" i="1"/>
  <c r="AU137" i="1"/>
  <c r="AU118" i="1"/>
  <c r="G118" i="1"/>
  <c r="AU37" i="1"/>
  <c r="G37" i="1"/>
  <c r="G38" i="1"/>
  <c r="U29" i="1"/>
  <c r="AU29" i="1"/>
  <c r="G29" i="1"/>
  <c r="G95" i="1"/>
  <c r="U95" i="1"/>
  <c r="G24" i="1"/>
  <c r="E26" i="50" s="1"/>
  <c r="AU24" i="1"/>
  <c r="AU171" i="1"/>
  <c r="G171" i="1"/>
  <c r="E171" i="50" s="1"/>
  <c r="G19" i="1"/>
  <c r="E22" i="50" s="1"/>
  <c r="AU19" i="1"/>
  <c r="AU100" i="1"/>
  <c r="U100" i="1"/>
  <c r="G87" i="1"/>
  <c r="G156" i="1"/>
  <c r="G82" i="1"/>
  <c r="AU160" i="1"/>
  <c r="G160" i="1"/>
  <c r="O56" i="1"/>
  <c r="G138" i="1"/>
  <c r="AU138" i="1"/>
  <c r="G44" i="1"/>
  <c r="G125" i="1"/>
  <c r="U72" i="1"/>
  <c r="U18" i="1"/>
  <c r="U160" i="1"/>
  <c r="G41" i="1"/>
  <c r="G70" i="1"/>
  <c r="G78" i="1"/>
  <c r="U28" i="1"/>
  <c r="U19" i="1"/>
  <c r="U74" i="1"/>
  <c r="G35" i="1"/>
  <c r="G112" i="1"/>
  <c r="U117" i="1"/>
  <c r="AU54" i="1"/>
  <c r="AU139" i="1"/>
  <c r="G64" i="1"/>
  <c r="G115" i="1"/>
  <c r="AU98" i="1"/>
  <c r="U80" i="1"/>
  <c r="G173" i="1"/>
  <c r="E176" i="50" s="1"/>
  <c r="U106" i="1"/>
  <c r="U93" i="1"/>
  <c r="AU60" i="1"/>
  <c r="AU140" i="1"/>
  <c r="G40" i="1"/>
  <c r="AU162" i="1"/>
  <c r="G110" i="1"/>
  <c r="U66" i="1"/>
  <c r="G149" i="1"/>
  <c r="AU91" i="1"/>
  <c r="AU69" i="1"/>
  <c r="G53" i="1"/>
  <c r="G168" i="1"/>
  <c r="AU75" i="1"/>
  <c r="U156" i="1"/>
  <c r="G122" i="1"/>
  <c r="O23" i="1"/>
  <c r="G25" i="50" s="1"/>
  <c r="G77" i="1"/>
  <c r="AU77" i="1"/>
  <c r="G20" i="1"/>
  <c r="E23" i="50" s="1"/>
  <c r="AU20" i="1"/>
  <c r="U20" i="1"/>
  <c r="AU51" i="1"/>
  <c r="U51" i="1"/>
  <c r="O69" i="1"/>
  <c r="AM69" i="1"/>
  <c r="G8" i="1"/>
  <c r="E11" i="50" s="1"/>
  <c r="AU8" i="1"/>
  <c r="U8" i="1"/>
  <c r="AU5" i="1"/>
  <c r="U5" i="1"/>
  <c r="G84" i="1"/>
  <c r="G150" i="1"/>
  <c r="U127" i="1"/>
  <c r="AU127" i="1"/>
  <c r="G101" i="1"/>
  <c r="AU101" i="1"/>
  <c r="U101" i="1"/>
  <c r="U81" i="1"/>
  <c r="G81" i="1"/>
  <c r="U145" i="1"/>
  <c r="G145" i="1"/>
  <c r="G107" i="1"/>
  <c r="AU107" i="1"/>
  <c r="O93" i="1"/>
  <c r="G148" i="1"/>
  <c r="AU148" i="1"/>
  <c r="G165" i="1"/>
  <c r="AU165" i="1"/>
  <c r="G126" i="1"/>
  <c r="AU126" i="1"/>
  <c r="U126" i="1"/>
  <c r="U52" i="1"/>
  <c r="AU52" i="1"/>
  <c r="G52" i="1"/>
  <c r="AM89" i="1"/>
  <c r="O89" i="1"/>
  <c r="G76" i="1"/>
  <c r="AU76" i="1"/>
  <c r="G162" i="1"/>
  <c r="U56" i="1"/>
  <c r="U99" i="1"/>
  <c r="U149" i="1"/>
  <c r="U118" i="1"/>
  <c r="U67" i="1"/>
  <c r="U11" i="1"/>
  <c r="U137" i="1"/>
  <c r="AM56" i="1"/>
  <c r="AN56" i="1" s="1"/>
  <c r="G147" i="1"/>
  <c r="G119" i="1"/>
  <c r="AU89" i="1"/>
  <c r="U159" i="1"/>
  <c r="AU70" i="1"/>
  <c r="U91" i="1"/>
  <c r="U35" i="1"/>
  <c r="U87" i="1"/>
  <c r="U152" i="1"/>
  <c r="U24" i="1"/>
  <c r="U157" i="1"/>
  <c r="AU47" i="1"/>
  <c r="G154" i="1"/>
  <c r="G59" i="1"/>
  <c r="AU116" i="1"/>
  <c r="AU56" i="1"/>
  <c r="U121" i="1"/>
  <c r="U76" i="1"/>
  <c r="G140" i="1"/>
  <c r="U110" i="1"/>
  <c r="AU145" i="1"/>
  <c r="U151" i="1"/>
  <c r="U15" i="1"/>
  <c r="AU167" i="1"/>
  <c r="U69" i="1"/>
  <c r="G5" i="1"/>
  <c r="E8" i="50" s="1"/>
  <c r="AU53" i="1"/>
  <c r="U168" i="1"/>
  <c r="G75" i="1"/>
  <c r="G30" i="6" l="1"/>
  <c r="J171" i="50"/>
  <c r="E30" i="6"/>
  <c r="G29" i="6"/>
  <c r="E50" i="50"/>
  <c r="E62" i="50"/>
  <c r="J159" i="50"/>
  <c r="E58" i="50"/>
  <c r="E47" i="50"/>
  <c r="J79" i="50"/>
  <c r="J72" i="50"/>
  <c r="J37" i="50"/>
  <c r="E68" i="50"/>
  <c r="E137" i="50"/>
  <c r="E156" i="50"/>
  <c r="E159" i="50"/>
  <c r="J52" i="50"/>
  <c r="J175" i="50"/>
  <c r="E45" i="50"/>
  <c r="E92" i="50"/>
  <c r="J56" i="50"/>
  <c r="J134" i="50"/>
  <c r="J89" i="50"/>
  <c r="J69" i="50"/>
  <c r="E52" i="50"/>
  <c r="J99" i="50"/>
  <c r="E97" i="50"/>
  <c r="E79" i="50"/>
  <c r="E99" i="50"/>
  <c r="E82" i="50"/>
  <c r="E36" i="50"/>
  <c r="E174" i="50"/>
  <c r="E53" i="50"/>
  <c r="E88" i="50"/>
  <c r="E90" i="50"/>
  <c r="E125" i="50"/>
  <c r="E55" i="50"/>
  <c r="J163" i="50"/>
  <c r="J65" i="50"/>
  <c r="J105" i="50"/>
  <c r="J43" i="50"/>
  <c r="J174" i="50"/>
  <c r="E163" i="50"/>
  <c r="E141" i="50"/>
  <c r="J112" i="50"/>
  <c r="E59" i="50"/>
  <c r="G80" i="6"/>
  <c r="E146" i="50"/>
  <c r="E73" i="50"/>
  <c r="E147" i="50"/>
  <c r="E140" i="50"/>
  <c r="E139" i="50"/>
  <c r="E111" i="50"/>
  <c r="E40" i="50"/>
  <c r="E71" i="50"/>
  <c r="E128" i="50"/>
  <c r="J49" i="50"/>
  <c r="J111" i="50"/>
  <c r="J127" i="50"/>
  <c r="J122" i="50"/>
  <c r="J53" i="50"/>
  <c r="J74" i="50"/>
  <c r="J94" i="50"/>
  <c r="J126" i="50"/>
  <c r="J98" i="50"/>
  <c r="J67" i="50"/>
  <c r="J117" i="50"/>
  <c r="J87" i="50"/>
  <c r="J76" i="50"/>
  <c r="J71" i="50"/>
  <c r="J44" i="50"/>
  <c r="J36" i="50"/>
  <c r="E70" i="50"/>
  <c r="J138" i="50"/>
  <c r="J152" i="50"/>
  <c r="J93" i="50"/>
  <c r="J51" i="50"/>
  <c r="J85" i="50"/>
  <c r="E122" i="50"/>
  <c r="E121" i="50"/>
  <c r="E114" i="50"/>
  <c r="E129" i="50"/>
  <c r="E77" i="50"/>
  <c r="E56" i="50"/>
  <c r="E42" i="50"/>
  <c r="E151" i="50"/>
  <c r="E158" i="50"/>
  <c r="E150" i="50"/>
  <c r="E32" i="50"/>
  <c r="E165" i="50"/>
  <c r="E101" i="50"/>
  <c r="J161" i="50"/>
  <c r="J167" i="50"/>
  <c r="J107" i="50"/>
  <c r="J157" i="50"/>
  <c r="J34" i="50"/>
  <c r="J110" i="50"/>
  <c r="J130" i="50"/>
  <c r="J40" i="50"/>
  <c r="J135" i="50"/>
  <c r="J155" i="50"/>
  <c r="J88" i="50"/>
  <c r="J68" i="50"/>
  <c r="J31" i="50"/>
  <c r="J143" i="50"/>
  <c r="J119" i="50"/>
  <c r="J55" i="50"/>
  <c r="E106" i="50"/>
  <c r="E80" i="50"/>
  <c r="E37" i="50"/>
  <c r="E117" i="50"/>
  <c r="E107" i="50"/>
  <c r="E31" i="50"/>
  <c r="E84" i="50"/>
  <c r="E120" i="50"/>
  <c r="E112" i="50"/>
  <c r="E64" i="50"/>
  <c r="E86" i="50"/>
  <c r="E127" i="50"/>
  <c r="E102" i="50"/>
  <c r="J154" i="50"/>
  <c r="J61" i="50"/>
  <c r="J63" i="50"/>
  <c r="J82" i="50"/>
  <c r="J78" i="50"/>
  <c r="J133" i="50"/>
  <c r="J148" i="50"/>
  <c r="J47" i="50"/>
  <c r="J141" i="50"/>
  <c r="J140" i="50"/>
  <c r="J149" i="50"/>
  <c r="E54" i="50"/>
  <c r="E91" i="50"/>
  <c r="E134" i="50"/>
  <c r="E154" i="50"/>
  <c r="E157" i="50"/>
  <c r="E164" i="50"/>
  <c r="E66" i="50"/>
  <c r="J33" i="50"/>
  <c r="J46" i="50"/>
  <c r="J108" i="50"/>
  <c r="E67" i="50"/>
  <c r="E49" i="50"/>
  <c r="J57" i="50"/>
  <c r="J91" i="50"/>
  <c r="E143" i="50"/>
  <c r="E108" i="50"/>
  <c r="E43" i="50"/>
  <c r="E44" i="50"/>
  <c r="E61" i="50"/>
  <c r="J58" i="50"/>
  <c r="J80" i="50"/>
  <c r="J121" i="50"/>
  <c r="J59" i="50"/>
  <c r="J137" i="50"/>
  <c r="J129" i="50"/>
  <c r="J116" i="50"/>
  <c r="E76" i="50"/>
  <c r="E149" i="50"/>
  <c r="E41" i="50"/>
  <c r="E100" i="50"/>
  <c r="E161" i="50"/>
  <c r="E83" i="50"/>
  <c r="E81" i="50"/>
  <c r="E104" i="50"/>
  <c r="E133" i="50"/>
  <c r="E119" i="50"/>
  <c r="E148" i="50"/>
  <c r="E155" i="50"/>
  <c r="E35" i="50"/>
  <c r="E63" i="50"/>
  <c r="E110" i="50"/>
  <c r="E168" i="50"/>
  <c r="E69" i="50"/>
  <c r="J41" i="50"/>
  <c r="J158" i="50"/>
  <c r="J164" i="50"/>
  <c r="J153" i="50"/>
  <c r="J131" i="50"/>
  <c r="J113" i="50"/>
  <c r="J77" i="50"/>
  <c r="J54" i="50"/>
  <c r="J92" i="50"/>
  <c r="J64" i="50"/>
  <c r="J115" i="50"/>
  <c r="J150" i="50"/>
  <c r="J81" i="50"/>
  <c r="J75" i="50"/>
  <c r="J50" i="50"/>
  <c r="J66" i="50"/>
  <c r="J39" i="50"/>
  <c r="J128" i="50"/>
  <c r="J144" i="50"/>
  <c r="J103" i="50"/>
  <c r="J84" i="50"/>
  <c r="J162" i="50"/>
  <c r="J42" i="50"/>
  <c r="J86" i="50"/>
  <c r="J136" i="50"/>
  <c r="J70" i="50"/>
  <c r="J35" i="50"/>
  <c r="E89" i="50"/>
  <c r="E123" i="50"/>
  <c r="E98" i="50"/>
  <c r="E74" i="50"/>
  <c r="E116" i="50"/>
  <c r="E33" i="50"/>
  <c r="E124" i="50"/>
  <c r="J90" i="50"/>
  <c r="J100" i="50"/>
  <c r="J114" i="50"/>
  <c r="J132" i="50"/>
  <c r="E75" i="50"/>
  <c r="E93" i="50"/>
  <c r="E113" i="50"/>
  <c r="E130" i="50"/>
  <c r="E38" i="50"/>
  <c r="J83" i="50"/>
  <c r="J104" i="50"/>
  <c r="J145" i="50"/>
  <c r="E78" i="50"/>
  <c r="E167" i="50"/>
  <c r="E34" i="50"/>
  <c r="E153" i="50"/>
  <c r="E57" i="50"/>
  <c r="E115" i="50"/>
  <c r="E103" i="50"/>
  <c r="E118" i="50"/>
  <c r="E51" i="50"/>
  <c r="E142" i="50"/>
  <c r="E39" i="50"/>
  <c r="E132" i="50"/>
  <c r="E85" i="50"/>
  <c r="E131" i="50"/>
  <c r="E136" i="50"/>
  <c r="E152" i="50"/>
  <c r="E144" i="50"/>
  <c r="E94" i="50"/>
  <c r="E160" i="50"/>
  <c r="E95" i="50"/>
  <c r="E135" i="50"/>
  <c r="E145" i="50"/>
  <c r="E138" i="50"/>
  <c r="E126" i="50"/>
  <c r="E105" i="50"/>
  <c r="E162" i="50"/>
  <c r="E109" i="50"/>
  <c r="E65" i="50"/>
  <c r="E72" i="50"/>
  <c r="J168" i="50"/>
  <c r="J160" i="50"/>
  <c r="J62" i="50"/>
  <c r="J123" i="50"/>
  <c r="J101" i="50"/>
  <c r="J38" i="50"/>
  <c r="J118" i="50"/>
  <c r="J95" i="50"/>
  <c r="J142" i="50"/>
  <c r="J106" i="50"/>
  <c r="J125" i="50"/>
  <c r="J139" i="50"/>
  <c r="J48" i="50"/>
  <c r="J120" i="50"/>
  <c r="J156" i="50"/>
  <c r="J60" i="50"/>
  <c r="J147" i="50"/>
  <c r="J45" i="50"/>
  <c r="J96" i="50"/>
  <c r="J32" i="50"/>
  <c r="J73" i="50"/>
  <c r="J124" i="50"/>
  <c r="J109" i="50"/>
  <c r="J97" i="50"/>
  <c r="E46" i="50"/>
  <c r="E87" i="50"/>
  <c r="E96" i="50"/>
  <c r="J102" i="50"/>
  <c r="J165" i="50"/>
  <c r="G113" i="6"/>
  <c r="J178" i="50"/>
  <c r="H57" i="6"/>
  <c r="J15" i="50"/>
  <c r="G37" i="6"/>
  <c r="J146" i="50"/>
  <c r="E105" i="6"/>
  <c r="J166" i="50"/>
  <c r="H81" i="6"/>
  <c r="G27" i="6"/>
  <c r="G109" i="6"/>
  <c r="G108" i="6"/>
  <c r="H28" i="6"/>
  <c r="H29" i="6"/>
  <c r="H78" i="6"/>
  <c r="H110" i="6"/>
  <c r="H101" i="6"/>
  <c r="H37" i="6"/>
  <c r="H35" i="6"/>
  <c r="H32" i="6"/>
  <c r="H39" i="6"/>
  <c r="H77" i="6"/>
  <c r="H79" i="6"/>
  <c r="H106" i="6"/>
  <c r="H112" i="6"/>
  <c r="AM93" i="1"/>
  <c r="AN93" i="1" s="1"/>
  <c r="AM26" i="1"/>
  <c r="AM164" i="1"/>
  <c r="AN164" i="1" s="1"/>
  <c r="O57" i="1"/>
  <c r="AM71" i="1"/>
  <c r="AN71" i="1" s="1"/>
  <c r="AM91" i="1"/>
  <c r="AM60" i="1"/>
  <c r="AM61" i="1"/>
  <c r="AN61" i="1" s="1"/>
  <c r="AM45" i="1"/>
  <c r="O67" i="1"/>
  <c r="AM54" i="1"/>
  <c r="AM51" i="1"/>
  <c r="AN51" i="1" s="1"/>
  <c r="AM94" i="1"/>
  <c r="AN94" i="1" s="1"/>
  <c r="AM100" i="1"/>
  <c r="AN100" i="1" s="1"/>
  <c r="AM80" i="1"/>
  <c r="AN80" i="1" s="1"/>
  <c r="E107" i="6"/>
  <c r="H103" i="6"/>
  <c r="H83" i="6"/>
  <c r="H102" i="6"/>
  <c r="H34" i="6"/>
  <c r="H113" i="6"/>
  <c r="H107" i="6"/>
  <c r="H109" i="6"/>
  <c r="H111" i="6"/>
  <c r="H104" i="6"/>
  <c r="H85" i="6"/>
  <c r="H54" i="6"/>
  <c r="H84" i="6"/>
  <c r="E88" i="6"/>
  <c r="H58" i="6"/>
  <c r="H88" i="6"/>
  <c r="H108" i="6"/>
  <c r="H86" i="6"/>
  <c r="H31" i="6"/>
  <c r="H27" i="6"/>
  <c r="H56" i="6"/>
  <c r="E85" i="6"/>
  <c r="H105" i="6"/>
  <c r="H87" i="6"/>
  <c r="H40" i="6"/>
  <c r="H41" i="6"/>
  <c r="H114" i="6"/>
  <c r="H115" i="6"/>
  <c r="H55" i="6"/>
  <c r="H80" i="6"/>
  <c r="E37" i="6"/>
  <c r="E108" i="6"/>
  <c r="O94" i="1"/>
  <c r="E28" i="6"/>
  <c r="E40" i="6"/>
  <c r="E113" i="6"/>
  <c r="E109" i="6"/>
  <c r="S2" i="1"/>
  <c r="G86" i="6"/>
  <c r="AW176" i="1"/>
  <c r="G111" i="6"/>
  <c r="G114" i="6"/>
  <c r="AW177" i="1"/>
  <c r="G115" i="6"/>
  <c r="AW145" i="1"/>
  <c r="AW51" i="1"/>
  <c r="AW173" i="1"/>
  <c r="AW108" i="1"/>
  <c r="AW155" i="1"/>
  <c r="AW68" i="1"/>
  <c r="AW136" i="1"/>
  <c r="AW69" i="1"/>
  <c r="AW121" i="1"/>
  <c r="AW152" i="1"/>
  <c r="AW11" i="1"/>
  <c r="AW99" i="1"/>
  <c r="AW71" i="1"/>
  <c r="AW85" i="1"/>
  <c r="AW26" i="1"/>
  <c r="AW164" i="1"/>
  <c r="AW135" i="1"/>
  <c r="AW150" i="1"/>
  <c r="AW47" i="1"/>
  <c r="AW10" i="1"/>
  <c r="AW168" i="1"/>
  <c r="AW110" i="1"/>
  <c r="AW87" i="1"/>
  <c r="AW159" i="1"/>
  <c r="AW100" i="1"/>
  <c r="AW13" i="1"/>
  <c r="AW23" i="1"/>
  <c r="AW21" i="1"/>
  <c r="AW97" i="1"/>
  <c r="AW31" i="1"/>
  <c r="AW59" i="1"/>
  <c r="AW46" i="1"/>
  <c r="AW54" i="1"/>
  <c r="AW89" i="1"/>
  <c r="AW158" i="1"/>
  <c r="AW144" i="1"/>
  <c r="AW131" i="1"/>
  <c r="AW130" i="1"/>
  <c r="AW105" i="1"/>
  <c r="AW16" i="1"/>
  <c r="AW14" i="1"/>
  <c r="AW25" i="1"/>
  <c r="AW174" i="1"/>
  <c r="AW102" i="1"/>
  <c r="G78" i="6"/>
  <c r="G112" i="6"/>
  <c r="G103" i="6"/>
  <c r="G32" i="6"/>
  <c r="G105" i="6"/>
  <c r="G39" i="6"/>
  <c r="G102" i="6"/>
  <c r="G110" i="6"/>
  <c r="G82" i="6"/>
  <c r="G104" i="6"/>
  <c r="AW96" i="1"/>
  <c r="AW156" i="1"/>
  <c r="AW66" i="1"/>
  <c r="AW106" i="1"/>
  <c r="AW117" i="1"/>
  <c r="AW19" i="1"/>
  <c r="AW48" i="1"/>
  <c r="AW103" i="1"/>
  <c r="AW67" i="1"/>
  <c r="AW56" i="1"/>
  <c r="AW81" i="1"/>
  <c r="AW5" i="1"/>
  <c r="AW8" i="1"/>
  <c r="AW20" i="1"/>
  <c r="AW28" i="1"/>
  <c r="AW160" i="1"/>
  <c r="AW43" i="1"/>
  <c r="AW78" i="1"/>
  <c r="AW57" i="1"/>
  <c r="AW147" i="1"/>
  <c r="AW141" i="1"/>
  <c r="AW15" i="1"/>
  <c r="AW157" i="1"/>
  <c r="AW35" i="1"/>
  <c r="AW118" i="1"/>
  <c r="AW52" i="1"/>
  <c r="AW101" i="1"/>
  <c r="AW127" i="1"/>
  <c r="AW93" i="1"/>
  <c r="AW80" i="1"/>
  <c r="AW18" i="1"/>
  <c r="O71" i="1"/>
  <c r="AW161" i="1"/>
  <c r="AW6" i="1"/>
  <c r="AW60" i="1"/>
  <c r="AW94" i="1"/>
  <c r="AW122" i="1"/>
  <c r="AW111" i="1"/>
  <c r="AW86" i="1"/>
  <c r="AW83" i="1"/>
  <c r="AW61" i="1"/>
  <c r="AW73" i="1"/>
  <c r="AW166" i="1"/>
  <c r="AW82" i="1"/>
  <c r="AW98" i="1"/>
  <c r="AW104" i="1"/>
  <c r="AW167" i="1"/>
  <c r="AW163" i="1"/>
  <c r="AW92" i="1"/>
  <c r="AW36" i="1"/>
  <c r="AW169" i="1"/>
  <c r="AW133" i="1"/>
  <c r="AW30" i="1"/>
  <c r="AW129" i="1"/>
  <c r="AW34" i="1"/>
  <c r="AW65" i="1"/>
  <c r="AW128" i="1"/>
  <c r="AW22" i="1"/>
  <c r="AW7" i="1"/>
  <c r="AW17" i="1"/>
  <c r="AW114" i="1"/>
  <c r="G79" i="6"/>
  <c r="G101" i="6"/>
  <c r="G28" i="6"/>
  <c r="G41" i="6"/>
  <c r="G31" i="6"/>
  <c r="G107" i="6"/>
  <c r="G77" i="6"/>
  <c r="G83" i="6"/>
  <c r="AW151" i="1"/>
  <c r="AW76" i="1"/>
  <c r="AW24" i="1"/>
  <c r="AW91" i="1"/>
  <c r="AW137" i="1"/>
  <c r="AW149" i="1"/>
  <c r="AW126" i="1"/>
  <c r="AW95" i="1"/>
  <c r="AW29" i="1"/>
  <c r="AW84" i="1"/>
  <c r="AW123" i="1"/>
  <c r="AW90" i="1"/>
  <c r="AW49" i="1"/>
  <c r="AW12" i="1"/>
  <c r="AW4" i="1"/>
  <c r="AW109" i="1"/>
  <c r="AW9" i="1"/>
  <c r="AW63" i="1"/>
  <c r="AW39" i="1"/>
  <c r="G35" i="6"/>
  <c r="G38" i="6"/>
  <c r="AW74" i="1"/>
  <c r="AW72" i="1"/>
  <c r="AW50" i="1"/>
  <c r="AW143" i="1"/>
  <c r="AW142" i="1"/>
  <c r="AW40" i="1"/>
  <c r="AW154" i="1"/>
  <c r="AW115" i="1"/>
  <c r="AW55" i="1"/>
  <c r="AW119" i="1"/>
  <c r="AW33" i="1"/>
  <c r="AW27" i="1"/>
  <c r="AW170" i="1"/>
  <c r="AW120" i="1"/>
  <c r="AW175" i="1"/>
  <c r="AW132" i="1"/>
  <c r="AW32" i="1"/>
  <c r="AW113" i="1"/>
  <c r="G106" i="6"/>
  <c r="G81" i="6"/>
  <c r="AM104" i="1"/>
  <c r="AN104" i="1" s="1"/>
  <c r="AM74" i="1"/>
  <c r="AN74" i="1" s="1"/>
  <c r="AM106" i="1"/>
  <c r="AN106" i="1" s="1"/>
  <c r="AM99" i="1"/>
  <c r="AN99" i="1" s="1"/>
  <c r="AM57" i="1"/>
  <c r="AN57" i="1" s="1"/>
  <c r="AM67" i="1"/>
  <c r="AN67" i="1" s="1"/>
  <c r="E103" i="6"/>
  <c r="E34" i="6"/>
  <c r="E104" i="6"/>
  <c r="E79" i="6"/>
  <c r="E41" i="6"/>
  <c r="E81" i="6"/>
  <c r="E106" i="6"/>
  <c r="E83" i="6"/>
  <c r="E84" i="6"/>
  <c r="E29" i="6"/>
  <c r="E80" i="6"/>
  <c r="E115" i="6"/>
  <c r="E111" i="6"/>
  <c r="E31" i="6"/>
  <c r="E114" i="6"/>
  <c r="E110" i="6"/>
  <c r="O104" i="1"/>
  <c r="O74" i="1"/>
  <c r="E32" i="6"/>
  <c r="E38" i="6"/>
  <c r="E77" i="6"/>
  <c r="E102" i="6"/>
  <c r="E86" i="6"/>
  <c r="E87" i="6"/>
  <c r="E35" i="6"/>
  <c r="E78" i="6"/>
  <c r="E39" i="6"/>
  <c r="E101" i="6"/>
  <c r="E112" i="6"/>
  <c r="O99" i="1"/>
  <c r="O106" i="1"/>
  <c r="H38" i="6"/>
  <c r="H53" i="6"/>
  <c r="H82" i="6"/>
  <c r="O95" i="1"/>
  <c r="AM95" i="1"/>
  <c r="O38" i="1"/>
  <c r="AM38" i="1"/>
  <c r="AN38" i="1" s="1"/>
  <c r="Q56" i="1"/>
  <c r="O29" i="1"/>
  <c r="AM29" i="1"/>
  <c r="AM118" i="1"/>
  <c r="O118" i="1"/>
  <c r="AM121" i="1"/>
  <c r="O121" i="1"/>
  <c r="O111" i="1"/>
  <c r="AM111" i="1"/>
  <c r="O43" i="1"/>
  <c r="AM43" i="1"/>
  <c r="AN43" i="1" s="1"/>
  <c r="O31" i="1"/>
  <c r="AM31" i="1"/>
  <c r="AN31" i="1" s="1"/>
  <c r="O140" i="1"/>
  <c r="AM140" i="1"/>
  <c r="O162" i="1"/>
  <c r="AM162" i="1"/>
  <c r="AN162" i="1" s="1"/>
  <c r="Q93" i="1"/>
  <c r="O145" i="1"/>
  <c r="AM145" i="1"/>
  <c r="Q69" i="1"/>
  <c r="Q23" i="1"/>
  <c r="AM168" i="1"/>
  <c r="O168" i="1"/>
  <c r="O35" i="1"/>
  <c r="AM35" i="1"/>
  <c r="O78" i="1"/>
  <c r="AM78" i="1"/>
  <c r="AN78" i="1" s="1"/>
  <c r="O160" i="1"/>
  <c r="AM160" i="1"/>
  <c r="AN160" i="1" s="1"/>
  <c r="O156" i="1"/>
  <c r="AM156" i="1"/>
  <c r="AN156" i="1" s="1"/>
  <c r="AM19" i="1"/>
  <c r="O19" i="1"/>
  <c r="G22" i="50" s="1"/>
  <c r="AM24" i="1"/>
  <c r="O24" i="1"/>
  <c r="G26" i="50" s="1"/>
  <c r="O137" i="1"/>
  <c r="AM137" i="1"/>
  <c r="O103" i="1"/>
  <c r="AM103" i="1"/>
  <c r="AN103" i="1" s="1"/>
  <c r="O48" i="1"/>
  <c r="C77" i="6" s="1"/>
  <c r="AM48" i="1"/>
  <c r="AN48" i="1" s="1"/>
  <c r="E56" i="6" s="1"/>
  <c r="O86" i="1"/>
  <c r="AM86" i="1"/>
  <c r="O83" i="1"/>
  <c r="AM83" i="1"/>
  <c r="AM73" i="1"/>
  <c r="O73" i="1"/>
  <c r="O161" i="1"/>
  <c r="AM161" i="1"/>
  <c r="AN161" i="1" s="1"/>
  <c r="O15" i="1"/>
  <c r="G18" i="50" s="1"/>
  <c r="AM15" i="1"/>
  <c r="AN15" i="1" s="1"/>
  <c r="O90" i="1"/>
  <c r="AM90" i="1"/>
  <c r="O117" i="1"/>
  <c r="AM117" i="1"/>
  <c r="AM157" i="1"/>
  <c r="O157" i="1"/>
  <c r="O97" i="1"/>
  <c r="AM97" i="1"/>
  <c r="AN97" i="1" s="1"/>
  <c r="O167" i="1"/>
  <c r="AM167" i="1"/>
  <c r="O153" i="1"/>
  <c r="AM153" i="1"/>
  <c r="AN153" i="1" s="1"/>
  <c r="Q91" i="1"/>
  <c r="Q51" i="1"/>
  <c r="O144" i="1"/>
  <c r="AM144" i="1"/>
  <c r="Q61" i="1"/>
  <c r="AM63" i="1"/>
  <c r="O63" i="1"/>
  <c r="AM105" i="1"/>
  <c r="O105" i="1"/>
  <c r="G173" i="50" s="1"/>
  <c r="O14" i="1"/>
  <c r="G17" i="50" s="1"/>
  <c r="AM14" i="1"/>
  <c r="AN14" i="1" s="1"/>
  <c r="O174" i="1"/>
  <c r="G177" i="50" s="1"/>
  <c r="AM174" i="1"/>
  <c r="AN174" i="1" s="1"/>
  <c r="AM154" i="1"/>
  <c r="O154" i="1"/>
  <c r="AM77" i="1"/>
  <c r="O77" i="1"/>
  <c r="AM110" i="1"/>
  <c r="O110" i="1"/>
  <c r="O173" i="1"/>
  <c r="G176" i="50" s="1"/>
  <c r="AM173" i="1"/>
  <c r="O64" i="1"/>
  <c r="AM64" i="1"/>
  <c r="AN64" i="1" s="1"/>
  <c r="AM112" i="1"/>
  <c r="O112" i="1"/>
  <c r="AM5" i="1"/>
  <c r="O5" i="1"/>
  <c r="O59" i="1"/>
  <c r="G59" i="50" s="1"/>
  <c r="AM59" i="1"/>
  <c r="O119" i="1"/>
  <c r="AM119" i="1"/>
  <c r="AN119" i="1" s="1"/>
  <c r="O165" i="1"/>
  <c r="AM165" i="1"/>
  <c r="O150" i="1"/>
  <c r="AM150" i="1"/>
  <c r="AN150" i="1" s="1"/>
  <c r="O8" i="1"/>
  <c r="G11" i="50" s="1"/>
  <c r="AM8" i="1"/>
  <c r="AM20" i="1"/>
  <c r="O20" i="1"/>
  <c r="G23" i="50" s="1"/>
  <c r="O122" i="1"/>
  <c r="AM122" i="1"/>
  <c r="O53" i="1"/>
  <c r="AM53" i="1"/>
  <c r="O149" i="1"/>
  <c r="AM149" i="1"/>
  <c r="AM40" i="1"/>
  <c r="O40" i="1"/>
  <c r="O70" i="1"/>
  <c r="AM70" i="1"/>
  <c r="AN70" i="1" s="1"/>
  <c r="O44" i="1"/>
  <c r="AM44" i="1"/>
  <c r="AN44" i="1" s="1"/>
  <c r="O87" i="1"/>
  <c r="AM87" i="1"/>
  <c r="AN87" i="1" s="1"/>
  <c r="O171" i="1"/>
  <c r="AM171" i="1"/>
  <c r="AM37" i="1"/>
  <c r="O37" i="1"/>
  <c r="AM134" i="1"/>
  <c r="O134" i="1"/>
  <c r="G172" i="50" s="1"/>
  <c r="O135" i="1"/>
  <c r="AM135" i="1"/>
  <c r="O79" i="1"/>
  <c r="AM79" i="1"/>
  <c r="AN79" i="1" s="1"/>
  <c r="O142" i="1"/>
  <c r="AM142" i="1"/>
  <c r="AN142" i="1" s="1"/>
  <c r="O152" i="1"/>
  <c r="AM152" i="1"/>
  <c r="Q100" i="1"/>
  <c r="AM85" i="1"/>
  <c r="O85" i="1"/>
  <c r="AM50" i="1"/>
  <c r="O50" i="1"/>
  <c r="O159" i="1"/>
  <c r="AM159" i="1"/>
  <c r="AN159" i="1" s="1"/>
  <c r="O21" i="1"/>
  <c r="G24" i="50" s="1"/>
  <c r="AM21" i="1"/>
  <c r="AN21" i="1" s="1"/>
  <c r="O11" i="1"/>
  <c r="G14" i="50" s="1"/>
  <c r="AM11" i="1"/>
  <c r="O18" i="1"/>
  <c r="G21" i="50" s="1"/>
  <c r="AM18" i="1"/>
  <c r="AN18" i="1" s="1"/>
  <c r="O158" i="1"/>
  <c r="AM158" i="1"/>
  <c r="AN158" i="1" s="1"/>
  <c r="O49" i="1"/>
  <c r="AM49" i="1"/>
  <c r="AN49" i="1" s="1"/>
  <c r="O66" i="1"/>
  <c r="AM66" i="1"/>
  <c r="AN66" i="1" s="1"/>
  <c r="AM141" i="1"/>
  <c r="F48" i="6" s="1"/>
  <c r="O141" i="1"/>
  <c r="O46" i="1"/>
  <c r="AM46" i="1"/>
  <c r="AN46" i="1" s="1"/>
  <c r="O88" i="1"/>
  <c r="AM88" i="1"/>
  <c r="AN88" i="1" s="1"/>
  <c r="Q98" i="1"/>
  <c r="AM163" i="1"/>
  <c r="O163" i="1"/>
  <c r="O92" i="1"/>
  <c r="AM92" i="1"/>
  <c r="O33" i="1"/>
  <c r="AM33" i="1"/>
  <c r="O27" i="1"/>
  <c r="G29" i="50" s="1"/>
  <c r="O120" i="1"/>
  <c r="AM120" i="1"/>
  <c r="AN120" i="1" s="1"/>
  <c r="O175" i="1"/>
  <c r="G179" i="50" s="1"/>
  <c r="AM175" i="1"/>
  <c r="AN175" i="1" s="1"/>
  <c r="O34" i="1"/>
  <c r="AM34" i="1"/>
  <c r="AN34" i="1" s="1"/>
  <c r="O177" i="1"/>
  <c r="G181" i="50" s="1"/>
  <c r="AM177" i="1"/>
  <c r="AN177" i="1" s="1"/>
  <c r="F113" i="6" s="1"/>
  <c r="O128" i="1"/>
  <c r="AM128" i="1"/>
  <c r="AM132" i="1"/>
  <c r="O132" i="1"/>
  <c r="O130" i="1"/>
  <c r="G126" i="50" s="1"/>
  <c r="AM130" i="1"/>
  <c r="O109" i="1"/>
  <c r="AM109" i="1"/>
  <c r="AN109" i="1" s="1"/>
  <c r="O17" i="1"/>
  <c r="G20" i="50" s="1"/>
  <c r="AM17" i="1"/>
  <c r="AN17" i="1" s="1"/>
  <c r="O114" i="1"/>
  <c r="AM114" i="1"/>
  <c r="O115" i="1"/>
  <c r="AM115" i="1"/>
  <c r="AN115" i="1" s="1"/>
  <c r="O41" i="1"/>
  <c r="AM41" i="1"/>
  <c r="AN41" i="1" s="1"/>
  <c r="O125" i="1"/>
  <c r="AM125" i="1"/>
  <c r="AN125" i="1" s="1"/>
  <c r="AM62" i="1"/>
  <c r="O62" i="1"/>
  <c r="G60" i="50" s="1"/>
  <c r="Q47" i="1"/>
  <c r="AM108" i="1"/>
  <c r="O108" i="1"/>
  <c r="O6" i="1"/>
  <c r="G9" i="50" s="1"/>
  <c r="AM6" i="1"/>
  <c r="O124" i="1"/>
  <c r="AM124" i="1"/>
  <c r="O116" i="1"/>
  <c r="AM116" i="1"/>
  <c r="AN116" i="1" s="1"/>
  <c r="O166" i="1"/>
  <c r="AM166" i="1"/>
  <c r="AN166" i="1" s="1"/>
  <c r="O28" i="1"/>
  <c r="G30" i="50" s="1"/>
  <c r="AM28" i="1"/>
  <c r="Q60" i="1"/>
  <c r="O136" i="1"/>
  <c r="AM136" i="1"/>
  <c r="Q80" i="1"/>
  <c r="AM12" i="1"/>
  <c r="O12" i="1"/>
  <c r="G15" i="50" s="1"/>
  <c r="O169" i="1"/>
  <c r="G169" i="50" s="1"/>
  <c r="AM169" i="1"/>
  <c r="AN169" i="1" s="1"/>
  <c r="O30" i="1"/>
  <c r="G178" i="50" s="1"/>
  <c r="AM30" i="1"/>
  <c r="Q164" i="1"/>
  <c r="AM10" i="1"/>
  <c r="O10" i="1"/>
  <c r="G13" i="50" s="1"/>
  <c r="O4" i="1"/>
  <c r="AM4" i="1"/>
  <c r="O22" i="1"/>
  <c r="AM22" i="1"/>
  <c r="O16" i="1"/>
  <c r="G19" i="50" s="1"/>
  <c r="AM16" i="1"/>
  <c r="Q54" i="1"/>
  <c r="Q127" i="1"/>
  <c r="O39" i="1"/>
  <c r="AM39" i="1"/>
  <c r="AN39" i="1" s="1"/>
  <c r="O32" i="1"/>
  <c r="AM32" i="1"/>
  <c r="O113" i="1"/>
  <c r="AM113" i="1"/>
  <c r="AN113" i="1" s="1"/>
  <c r="AM102" i="1"/>
  <c r="O102" i="1"/>
  <c r="O75" i="1"/>
  <c r="AM75" i="1"/>
  <c r="O147" i="1"/>
  <c r="AM147" i="1"/>
  <c r="AN147" i="1" s="1"/>
  <c r="AM76" i="1"/>
  <c r="O76" i="1"/>
  <c r="AM52" i="1"/>
  <c r="O52" i="1"/>
  <c r="O81" i="1"/>
  <c r="AM81" i="1"/>
  <c r="AN81" i="1" s="1"/>
  <c r="O101" i="1"/>
  <c r="AM101" i="1"/>
  <c r="O84" i="1"/>
  <c r="AM84" i="1"/>
  <c r="AN84" i="1" s="1"/>
  <c r="Q89" i="1"/>
  <c r="AM126" i="1"/>
  <c r="O126" i="1"/>
  <c r="O148" i="1"/>
  <c r="AM148" i="1"/>
  <c r="O107" i="1"/>
  <c r="AM107" i="1"/>
  <c r="O138" i="1"/>
  <c r="AM138" i="1"/>
  <c r="O82" i="1"/>
  <c r="G80" i="50" s="1"/>
  <c r="AM82" i="1"/>
  <c r="AN82" i="1" s="1"/>
  <c r="O146" i="1"/>
  <c r="AM146" i="1"/>
  <c r="O172" i="1"/>
  <c r="AM172" i="1"/>
  <c r="O42" i="1"/>
  <c r="AM42" i="1"/>
  <c r="O143" i="1"/>
  <c r="AM143" i="1"/>
  <c r="AN143" i="1" s="1"/>
  <c r="AM151" i="1"/>
  <c r="O151" i="1"/>
  <c r="AM13" i="1"/>
  <c r="O13" i="1"/>
  <c r="G16" i="50" s="1"/>
  <c r="O96" i="1"/>
  <c r="AM96" i="1"/>
  <c r="O55" i="1"/>
  <c r="AM55" i="1"/>
  <c r="AN55" i="1" s="1"/>
  <c r="AM68" i="1"/>
  <c r="O68" i="1"/>
  <c r="O139" i="1"/>
  <c r="AM139" i="1"/>
  <c r="AN139" i="1" s="1"/>
  <c r="O123" i="1"/>
  <c r="AM123" i="1"/>
  <c r="AN123" i="1" s="1"/>
  <c r="O72" i="1"/>
  <c r="AM72" i="1"/>
  <c r="O155" i="1"/>
  <c r="AM155" i="1"/>
  <c r="O36" i="1"/>
  <c r="AM36" i="1"/>
  <c r="AN36" i="1" s="1"/>
  <c r="O170" i="1"/>
  <c r="G170" i="50" s="1"/>
  <c r="AM170" i="1"/>
  <c r="AN170" i="1" s="1"/>
  <c r="O133" i="1"/>
  <c r="G166" i="50" s="1"/>
  <c r="AM133" i="1"/>
  <c r="AN133" i="1" s="1"/>
  <c r="O129" i="1"/>
  <c r="AM129" i="1"/>
  <c r="AN129" i="1" s="1"/>
  <c r="AM65" i="1"/>
  <c r="O65" i="1"/>
  <c r="O131" i="1"/>
  <c r="AM131" i="1"/>
  <c r="O9" i="1"/>
  <c r="G12" i="50" s="1"/>
  <c r="AM9" i="1"/>
  <c r="AN9" i="1" s="1"/>
  <c r="AM7" i="1"/>
  <c r="O7" i="1"/>
  <c r="G10" i="50" s="1"/>
  <c r="Q26" i="1"/>
  <c r="AM25" i="1"/>
  <c r="O25" i="1"/>
  <c r="G27" i="50" s="1"/>
  <c r="AN171" i="1" l="1"/>
  <c r="F30" i="6"/>
  <c r="G171" i="50"/>
  <c r="C30" i="6"/>
  <c r="S3" i="1"/>
  <c r="G10" i="6" s="1"/>
  <c r="H10" i="6" s="1"/>
  <c r="G8" i="50"/>
  <c r="S23" i="6"/>
  <c r="T23" i="6" s="1"/>
  <c r="G53" i="50"/>
  <c r="G79" i="50"/>
  <c r="G168" i="50"/>
  <c r="G148" i="50"/>
  <c r="G125" i="50"/>
  <c r="G35" i="50"/>
  <c r="G52" i="50"/>
  <c r="G133" i="50"/>
  <c r="G174" i="50"/>
  <c r="G103" i="50"/>
  <c r="G82" i="50"/>
  <c r="G47" i="50"/>
  <c r="G78" i="50"/>
  <c r="G159" i="50"/>
  <c r="G97" i="50"/>
  <c r="G92" i="50"/>
  <c r="G66" i="50"/>
  <c r="G50" i="50"/>
  <c r="G116" i="50"/>
  <c r="G136" i="50"/>
  <c r="G88" i="50"/>
  <c r="G127" i="50"/>
  <c r="G141" i="50"/>
  <c r="G99" i="50"/>
  <c r="G45" i="50"/>
  <c r="G151" i="50"/>
  <c r="G68" i="50"/>
  <c r="G157" i="50"/>
  <c r="G104" i="50"/>
  <c r="G40" i="50"/>
  <c r="G49" i="50"/>
  <c r="G55" i="50"/>
  <c r="G175" i="50"/>
  <c r="G90" i="50"/>
  <c r="G85" i="50"/>
  <c r="G96" i="50"/>
  <c r="F32" i="6"/>
  <c r="F81" i="6"/>
  <c r="G144" i="50"/>
  <c r="G137" i="50"/>
  <c r="G73" i="50"/>
  <c r="G38" i="50"/>
  <c r="G158" i="50"/>
  <c r="G106" i="50"/>
  <c r="G121" i="50"/>
  <c r="G124" i="50"/>
  <c r="G167" i="50"/>
  <c r="G114" i="50"/>
  <c r="G119" i="50"/>
  <c r="G41" i="50"/>
  <c r="G132" i="50"/>
  <c r="G112" i="50"/>
  <c r="G64" i="50"/>
  <c r="G152" i="50"/>
  <c r="G56" i="50"/>
  <c r="G75" i="50"/>
  <c r="G107" i="50"/>
  <c r="G33" i="50"/>
  <c r="G36" i="50"/>
  <c r="G71" i="50"/>
  <c r="G65" i="50"/>
  <c r="G145" i="50"/>
  <c r="G139" i="50"/>
  <c r="G89" i="50"/>
  <c r="G98" i="50"/>
  <c r="G111" i="50"/>
  <c r="G83" i="50"/>
  <c r="G62" i="50"/>
  <c r="G138" i="50"/>
  <c r="G93" i="50"/>
  <c r="G162" i="50"/>
  <c r="G165" i="50"/>
  <c r="G108" i="50"/>
  <c r="G149" i="50"/>
  <c r="G31" i="50"/>
  <c r="G54" i="50"/>
  <c r="G94" i="50"/>
  <c r="G129" i="50"/>
  <c r="G118" i="50"/>
  <c r="G57" i="50"/>
  <c r="G113" i="50"/>
  <c r="G100" i="50"/>
  <c r="G76" i="50"/>
  <c r="G58" i="50"/>
  <c r="G123" i="50"/>
  <c r="G67" i="50"/>
  <c r="G63" i="50"/>
  <c r="G122" i="50"/>
  <c r="G74" i="50"/>
  <c r="G130" i="50"/>
  <c r="G110" i="50"/>
  <c r="G105" i="50"/>
  <c r="G155" i="50"/>
  <c r="G135" i="50"/>
  <c r="G48" i="50"/>
  <c r="G39" i="50"/>
  <c r="G150" i="50"/>
  <c r="G117" i="50"/>
  <c r="G37" i="50"/>
  <c r="G102" i="50"/>
  <c r="G72" i="50"/>
  <c r="G91" i="50"/>
  <c r="G140" i="50"/>
  <c r="G128" i="50"/>
  <c r="G146" i="50"/>
  <c r="G142" i="50"/>
  <c r="G95" i="50"/>
  <c r="G84" i="50"/>
  <c r="G154" i="50"/>
  <c r="G69" i="50"/>
  <c r="G70" i="50"/>
  <c r="G109" i="50"/>
  <c r="G163" i="50"/>
  <c r="G120" i="50"/>
  <c r="G32" i="50"/>
  <c r="G86" i="50"/>
  <c r="G77" i="50"/>
  <c r="G43" i="50"/>
  <c r="G44" i="50"/>
  <c r="G51" i="50"/>
  <c r="G143" i="50"/>
  <c r="G115" i="50"/>
  <c r="G147" i="50"/>
  <c r="G61" i="50"/>
  <c r="G160" i="50"/>
  <c r="G81" i="50"/>
  <c r="G161" i="50"/>
  <c r="G131" i="50"/>
  <c r="G153" i="50"/>
  <c r="G34" i="50"/>
  <c r="G134" i="50"/>
  <c r="G42" i="50"/>
  <c r="G164" i="50"/>
  <c r="G101" i="50"/>
  <c r="G156" i="50"/>
  <c r="G87" i="50"/>
  <c r="G46" i="50"/>
  <c r="Q57" i="1"/>
  <c r="F105" i="6"/>
  <c r="Q67" i="1"/>
  <c r="AN128" i="1"/>
  <c r="F38" i="6" s="1"/>
  <c r="F78" i="6"/>
  <c r="F112" i="6"/>
  <c r="AN173" i="1"/>
  <c r="F103" i="6" s="1"/>
  <c r="AN29" i="1"/>
  <c r="F83" i="6" s="1"/>
  <c r="AN22" i="1"/>
  <c r="F40" i="6"/>
  <c r="C57" i="6"/>
  <c r="Q106" i="1"/>
  <c r="Q74" i="1"/>
  <c r="Q99" i="1"/>
  <c r="Q104" i="1"/>
  <c r="AM27" i="1"/>
  <c r="C56" i="6"/>
  <c r="F115" i="6"/>
  <c r="F114" i="6"/>
  <c r="F111" i="6"/>
  <c r="F102" i="6"/>
  <c r="F110" i="6"/>
  <c r="F109" i="6"/>
  <c r="Q94" i="1"/>
  <c r="Q71" i="1"/>
  <c r="C35" i="6"/>
  <c r="E58" i="6"/>
  <c r="F88" i="6"/>
  <c r="C58" i="6"/>
  <c r="C88" i="6"/>
  <c r="C32" i="6"/>
  <c r="F80" i="6"/>
  <c r="F39" i="6"/>
  <c r="F41" i="6"/>
  <c r="F35" i="6"/>
  <c r="C39" i="6"/>
  <c r="G5" i="6"/>
  <c r="F85" i="6"/>
  <c r="F34" i="6"/>
  <c r="F37" i="6"/>
  <c r="F86" i="6"/>
  <c r="F49" i="6"/>
  <c r="F82" i="6"/>
  <c r="F84" i="6"/>
  <c r="E55" i="6"/>
  <c r="F47" i="6"/>
  <c r="F79" i="6"/>
  <c r="E54" i="6"/>
  <c r="F77" i="6"/>
  <c r="E53" i="6"/>
  <c r="Q172" i="1"/>
  <c r="Q148" i="1"/>
  <c r="Q39" i="1"/>
  <c r="D47" i="6"/>
  <c r="Q169" i="1"/>
  <c r="C55" i="6"/>
  <c r="C84" i="6"/>
  <c r="Q166" i="1"/>
  <c r="C41" i="6"/>
  <c r="Q62" i="1"/>
  <c r="Q177" i="1"/>
  <c r="C115" i="6"/>
  <c r="Q34" i="1"/>
  <c r="Q163" i="1"/>
  <c r="Q88" i="1"/>
  <c r="Q141" i="1"/>
  <c r="D48" i="6"/>
  <c r="Q21" i="1"/>
  <c r="Q142" i="1"/>
  <c r="Q87" i="1"/>
  <c r="Q40" i="1"/>
  <c r="Q20" i="1"/>
  <c r="Q119" i="1"/>
  <c r="Q59" i="1"/>
  <c r="Q77" i="1"/>
  <c r="C104" i="6"/>
  <c r="Q161" i="1"/>
  <c r="Q24" i="1"/>
  <c r="Q35" i="1"/>
  <c r="Q31" i="1"/>
  <c r="Q121" i="1"/>
  <c r="Q38" i="1"/>
  <c r="Q81" i="1"/>
  <c r="Q76" i="1"/>
  <c r="Q147" i="1"/>
  <c r="Q75" i="1"/>
  <c r="Q102" i="1"/>
  <c r="C38" i="6"/>
  <c r="C87" i="6"/>
  <c r="Q113" i="1"/>
  <c r="Q131" i="1"/>
  <c r="Q123" i="1"/>
  <c r="Q101" i="1"/>
  <c r="Q52" i="1"/>
  <c r="Q25" i="1"/>
  <c r="Q7" i="1"/>
  <c r="C105" i="6"/>
  <c r="Q133" i="1"/>
  <c r="Q170" i="1"/>
  <c r="C34" i="6"/>
  <c r="C85" i="6"/>
  <c r="Q68" i="1"/>
  <c r="Q96" i="1"/>
  <c r="C101" i="6"/>
  <c r="Q42" i="1"/>
  <c r="Q84" i="1"/>
  <c r="Q22" i="1"/>
  <c r="C102" i="6"/>
  <c r="C29" i="6"/>
  <c r="C81" i="6"/>
  <c r="Q4" i="1"/>
  <c r="C113" i="6"/>
  <c r="Q136" i="1"/>
  <c r="Q125" i="1"/>
  <c r="Q114" i="1"/>
  <c r="Q109" i="1"/>
  <c r="Q128" i="1"/>
  <c r="Q27" i="1"/>
  <c r="Q66" i="1"/>
  <c r="Q18" i="1"/>
  <c r="Q11" i="1"/>
  <c r="Q50" i="1"/>
  <c r="Q135" i="1"/>
  <c r="Q37" i="1"/>
  <c r="C86" i="6"/>
  <c r="Q171" i="1"/>
  <c r="C37" i="6"/>
  <c r="D49" i="6"/>
  <c r="Q70" i="1"/>
  <c r="Q5" i="1"/>
  <c r="S18" i="6"/>
  <c r="T18" i="6" s="1"/>
  <c r="Q173" i="1"/>
  <c r="C110" i="6"/>
  <c r="Q144" i="1"/>
  <c r="Q167" i="1"/>
  <c r="Q97" i="1"/>
  <c r="Q15" i="1"/>
  <c r="Q73" i="1"/>
  <c r="Q83" i="1"/>
  <c r="Q86" i="1"/>
  <c r="Q137" i="1"/>
  <c r="Q78" i="1"/>
  <c r="C103" i="6"/>
  <c r="Q162" i="1"/>
  <c r="Q140" i="1"/>
  <c r="Q65" i="1"/>
  <c r="C78" i="6"/>
  <c r="Q9" i="1"/>
  <c r="Q129" i="1"/>
  <c r="Q72" i="1"/>
  <c r="Q55" i="1"/>
  <c r="Q13" i="1"/>
  <c r="Q151" i="1"/>
  <c r="Q143" i="1"/>
  <c r="Q138" i="1"/>
  <c r="Q107" i="1"/>
  <c r="Q126" i="1"/>
  <c r="C80" i="6"/>
  <c r="Q32" i="1"/>
  <c r="Q10" i="1"/>
  <c r="Q12" i="1"/>
  <c r="C31" i="6"/>
  <c r="Q28" i="1"/>
  <c r="Q124" i="1"/>
  <c r="Q6" i="1"/>
  <c r="Q115" i="1"/>
  <c r="Q17" i="1"/>
  <c r="C114" i="6"/>
  <c r="Q132" i="1"/>
  <c r="C112" i="6"/>
  <c r="Q175" i="1"/>
  <c r="Q120" i="1"/>
  <c r="Q46" i="1"/>
  <c r="Q158" i="1"/>
  <c r="Q152" i="1"/>
  <c r="Q44" i="1"/>
  <c r="Q53" i="1"/>
  <c r="Q122" i="1"/>
  <c r="Q150" i="1"/>
  <c r="C40" i="6"/>
  <c r="Q165" i="1"/>
  <c r="Q112" i="1"/>
  <c r="Q154" i="1"/>
  <c r="Q174" i="1"/>
  <c r="C111" i="6"/>
  <c r="Q14" i="1"/>
  <c r="Q63" i="1"/>
  <c r="C28" i="6"/>
  <c r="Q153" i="1"/>
  <c r="Q157" i="1"/>
  <c r="Q90" i="1"/>
  <c r="Q156" i="1"/>
  <c r="Q160" i="1"/>
  <c r="C83" i="6"/>
  <c r="Q168" i="1"/>
  <c r="Q111" i="1"/>
  <c r="Q95" i="1"/>
  <c r="Q155" i="1"/>
  <c r="Q139" i="1"/>
  <c r="C109" i="6"/>
  <c r="Q82" i="1"/>
  <c r="Q16" i="1"/>
  <c r="Q116" i="1"/>
  <c r="Q108" i="1"/>
  <c r="Q41" i="1"/>
  <c r="Q130" i="1"/>
  <c r="Q33" i="1"/>
  <c r="Q92" i="1"/>
  <c r="Q49" i="1"/>
  <c r="Q159" i="1"/>
  <c r="Q85" i="1"/>
  <c r="C79" i="6"/>
  <c r="C54" i="6"/>
  <c r="Q79" i="1"/>
  <c r="Q149" i="1"/>
  <c r="Q8" i="1"/>
  <c r="Q64" i="1"/>
  <c r="Q110" i="1"/>
  <c r="C107" i="6"/>
  <c r="Q117" i="1"/>
  <c r="C53" i="6"/>
  <c r="Q48" i="1"/>
  <c r="Q103" i="1"/>
  <c r="Q19" i="1"/>
  <c r="Q145" i="1"/>
  <c r="Q43" i="1"/>
  <c r="Q118" i="1"/>
  <c r="Q29" i="1"/>
  <c r="G176" i="1" l="1"/>
  <c r="F104" i="6"/>
  <c r="F27" i="6"/>
  <c r="F31" i="6"/>
  <c r="F28" i="6"/>
  <c r="F101" i="6"/>
  <c r="F29" i="6"/>
  <c r="F107" i="6"/>
  <c r="H5" i="6"/>
  <c r="S19" i="6"/>
  <c r="T19" i="6" s="1"/>
  <c r="E180" i="50" l="1"/>
  <c r="O176" i="1"/>
  <c r="C106" i="6" s="1"/>
  <c r="AM176" i="1"/>
  <c r="S20" i="6"/>
  <c r="T20" i="6" s="1"/>
  <c r="F108" i="6" l="1"/>
  <c r="F106" i="6"/>
  <c r="G180" i="50"/>
  <c r="C108" i="6"/>
  <c r="Q176" i="1"/>
  <c r="S21" i="6"/>
  <c r="T21" i="6" s="1"/>
  <c r="S22" i="6" l="1"/>
  <c r="T22" i="6" s="1"/>
  <c r="G2" i="1" l="1"/>
  <c r="C5" i="6" s="1"/>
  <c r="G3" i="1"/>
  <c r="C10" i="6" s="1"/>
  <c r="C23" i="6"/>
  <c r="D23" i="6" s="1"/>
  <c r="E11" i="48" s="1"/>
  <c r="C18" i="6"/>
  <c r="C19" i="6" s="1"/>
  <c r="I2" i="1"/>
  <c r="I3" i="1"/>
  <c r="E18" i="6"/>
  <c r="E19" i="6" s="1"/>
  <c r="AE2" i="1"/>
  <c r="J5" i="6" s="1"/>
  <c r="AE3" i="1"/>
  <c r="J10" i="6" s="1"/>
  <c r="K18" i="6"/>
  <c r="K19" i="6" s="1"/>
  <c r="E23" i="6"/>
  <c r="W23" i="6" s="1"/>
  <c r="X23" i="6" s="1"/>
  <c r="K23" i="6"/>
  <c r="L23" i="6" s="1"/>
  <c r="G11" i="48" s="1"/>
  <c r="AQ2" i="1"/>
  <c r="AU2" i="1" s="1"/>
  <c r="AQ3" i="1"/>
  <c r="AU3" i="1" s="1"/>
  <c r="M18" i="6"/>
  <c r="M19" i="6" s="1"/>
  <c r="M23" i="6"/>
  <c r="N23" i="6" s="1"/>
  <c r="AC2" i="1"/>
  <c r="AD2" i="1" s="1"/>
  <c r="AC3" i="1"/>
  <c r="AD3" i="1" s="1"/>
  <c r="E6" i="50"/>
  <c r="T2" i="1"/>
  <c r="U2" i="1" s="1"/>
  <c r="T3" i="1"/>
  <c r="G11" i="6" s="1"/>
  <c r="H11" i="6" s="1"/>
  <c r="AR2" i="1"/>
  <c r="AR3" i="1"/>
  <c r="Z2" i="1"/>
  <c r="AA2" i="1" s="1"/>
  <c r="Z3" i="1"/>
  <c r="Q23" i="6"/>
  <c r="Q18" i="6"/>
  <c r="Q19" i="6" s="1"/>
  <c r="L2" i="1"/>
  <c r="Q17" i="6" s="1"/>
  <c r="L11" i="6" l="1"/>
  <c r="M11" i="6" s="1"/>
  <c r="O2" i="1"/>
  <c r="AS2" i="1"/>
  <c r="AW2" i="1" s="1"/>
  <c r="AS3" i="1"/>
  <c r="H6" i="50"/>
  <c r="AG2" i="1"/>
  <c r="J6" i="50" s="1"/>
  <c r="AV2" i="1"/>
  <c r="D6" i="48"/>
  <c r="U23" i="6"/>
  <c r="V23" i="6" s="1"/>
  <c r="D11" i="48"/>
  <c r="N18" i="6"/>
  <c r="L18" i="6"/>
  <c r="G6" i="48" s="1"/>
  <c r="W18" i="6"/>
  <c r="X18" i="6" s="1"/>
  <c r="R18" i="6"/>
  <c r="U18" i="6"/>
  <c r="V18" i="6" s="1"/>
  <c r="E20" i="6"/>
  <c r="W20" i="6" s="1"/>
  <c r="X20" i="6" s="1"/>
  <c r="W19" i="6"/>
  <c r="X19" i="6" s="1"/>
  <c r="F19" i="6"/>
  <c r="C20" i="6"/>
  <c r="C21" i="6" s="1"/>
  <c r="D7" i="48"/>
  <c r="R19" i="6"/>
  <c r="D18" i="6"/>
  <c r="E6" i="48" s="1"/>
  <c r="F18" i="6"/>
  <c r="N19" i="6"/>
  <c r="M20" i="6"/>
  <c r="N20" i="6" s="1"/>
  <c r="K20" i="6"/>
  <c r="K21" i="6" s="1"/>
  <c r="L19" i="6"/>
  <c r="G7" i="48" s="1"/>
  <c r="F7" i="48"/>
  <c r="F6" i="48"/>
  <c r="D19" i="6"/>
  <c r="E7" i="48" s="1"/>
  <c r="AA3" i="1"/>
  <c r="U3" i="1"/>
  <c r="Q20" i="6"/>
  <c r="R23" i="6"/>
  <c r="L6" i="6"/>
  <c r="M6" i="6" s="1"/>
  <c r="G6" i="6"/>
  <c r="H6" i="6" s="1"/>
  <c r="F23" i="6"/>
  <c r="K11" i="6"/>
  <c r="K10" i="6"/>
  <c r="D12" i="6"/>
  <c r="D10" i="6"/>
  <c r="D11" i="6"/>
  <c r="R17" i="6"/>
  <c r="U17" i="6"/>
  <c r="V17" i="6" s="1"/>
  <c r="U19" i="6"/>
  <c r="V19" i="6" s="1"/>
  <c r="AV3" i="1"/>
  <c r="F11" i="48"/>
  <c r="AG3" i="1"/>
  <c r="K6" i="6"/>
  <c r="K5" i="6"/>
  <c r="O3" i="1"/>
  <c r="D6" i="6"/>
  <c r="D7" i="6"/>
  <c r="D5" i="6"/>
  <c r="Q2" i="1" l="1"/>
  <c r="G6" i="50"/>
  <c r="AW3" i="1"/>
  <c r="D20" i="6"/>
  <c r="E8" i="48" s="1"/>
  <c r="M21" i="6"/>
  <c r="N21" i="6" s="1"/>
  <c r="L20" i="6"/>
  <c r="G8" i="48" s="1"/>
  <c r="F20" i="6"/>
  <c r="D8" i="48"/>
  <c r="F8" i="48"/>
  <c r="E21" i="6"/>
  <c r="E22" i="6" s="1"/>
  <c r="R20" i="6"/>
  <c r="Q21" i="6"/>
  <c r="K22" i="6"/>
  <c r="L21" i="6"/>
  <c r="G9" i="48" s="1"/>
  <c r="F9" i="48"/>
  <c r="U20" i="6"/>
  <c r="V20" i="6" s="1"/>
  <c r="C22" i="6"/>
  <c r="D21" i="6"/>
  <c r="E9" i="48" s="1"/>
  <c r="D9" i="48"/>
  <c r="M22" i="6" l="1"/>
  <c r="N22" i="6" s="1"/>
  <c r="F21" i="6"/>
  <c r="W21" i="6"/>
  <c r="X21" i="6" s="1"/>
  <c r="W22" i="6"/>
  <c r="X22" i="6" s="1"/>
  <c r="F22" i="6"/>
  <c r="R21" i="6"/>
  <c r="Q22" i="6"/>
  <c r="R22" i="6" s="1"/>
  <c r="D10" i="48"/>
  <c r="D22" i="6"/>
  <c r="E10" i="48" s="1"/>
  <c r="L22" i="6"/>
  <c r="G10" i="48" s="1"/>
  <c r="F10" i="48"/>
  <c r="U21" i="6"/>
  <c r="V21" i="6" s="1"/>
  <c r="U22" i="6" l="1"/>
  <c r="V22" i="6" s="1"/>
</calcChain>
</file>

<file path=xl/comments1.xml><?xml version="1.0" encoding="utf-8"?>
<comments xmlns="http://schemas.openxmlformats.org/spreadsheetml/2006/main">
  <authors>
    <author>Стефан Баџа</author>
    <author>MDULS</author>
  </authors>
  <commentList>
    <comment ref="I2" authorId="0" shapeId="0">
      <text>
        <r>
          <rPr>
            <b/>
            <sz val="9"/>
            <color indexed="81"/>
            <rFont val="Tahoma"/>
            <family val="2"/>
          </rPr>
          <t>Стефан Баџа:</t>
        </r>
        <r>
          <rPr>
            <sz val="9"/>
            <color indexed="81"/>
            <rFont val="Tahoma"/>
            <family val="2"/>
          </rPr>
          <t xml:space="preserve">
Update urađen zadnji put 28.02.2017.</t>
        </r>
      </text>
    </comment>
    <comment ref="J2" authorId="0" shapeId="0">
      <text>
        <r>
          <rPr>
            <b/>
            <sz val="9"/>
            <color indexed="81"/>
            <rFont val="Tahoma"/>
            <family val="2"/>
          </rPr>
          <t>Стефан Баџа:</t>
        </r>
        <r>
          <rPr>
            <sz val="9"/>
            <color indexed="81"/>
            <rFont val="Tahoma"/>
            <family val="2"/>
          </rPr>
          <t xml:space="preserve">
Update urađen zadnji put 20.07.2017.</t>
        </r>
      </text>
    </comment>
    <comment ref="K2" authorId="0" shapeId="0">
      <text>
        <r>
          <rPr>
            <b/>
            <sz val="9"/>
            <color indexed="81"/>
            <rFont val="Tahoma"/>
            <family val="2"/>
          </rPr>
          <t>Стефан Баџа:</t>
        </r>
        <r>
          <rPr>
            <sz val="9"/>
            <color indexed="81"/>
            <rFont val="Tahoma"/>
            <family val="2"/>
          </rPr>
          <t xml:space="preserve">
Update urađen zadnji put 20.07.2017.</t>
        </r>
      </text>
    </comment>
    <comment ref="L2" authorId="1" shapeId="0">
      <text>
        <r>
          <rPr>
            <b/>
            <sz val="9"/>
            <color indexed="81"/>
            <rFont val="Tahoma"/>
            <family val="2"/>
          </rPr>
          <t>MDULS:</t>
        </r>
        <r>
          <rPr>
            <sz val="9"/>
            <color indexed="81"/>
            <rFont val="Tahoma"/>
            <family val="2"/>
          </rPr>
          <t xml:space="preserve">
Broj JLS koje rade direktno u Centralnom registru</t>
        </r>
      </text>
    </comment>
    <comment ref="L3" authorId="1" shapeId="0">
      <text>
        <r>
          <rPr>
            <b/>
            <sz val="9"/>
            <color indexed="81"/>
            <rFont val="Tahoma"/>
            <family val="2"/>
          </rPr>
          <t>MDULS:</t>
        </r>
        <r>
          <rPr>
            <sz val="9"/>
            <color indexed="81"/>
            <rFont val="Tahoma"/>
            <family val="2"/>
          </rPr>
          <t xml:space="preserve">
Broj JLS bez Kosova koje rade direktno u Centralnom registru</t>
        </r>
      </text>
    </comment>
    <comment ref="V45" authorId="0" shapeId="0">
      <text>
        <r>
          <rPr>
            <b/>
            <sz val="9"/>
            <color indexed="81"/>
            <rFont val="Tahoma"/>
            <family val="2"/>
            <charset val="238"/>
          </rPr>
          <t>Стефан Баџа:</t>
        </r>
        <r>
          <rPr>
            <sz val="9"/>
            <color indexed="81"/>
            <rFont val="Tahoma"/>
            <family val="2"/>
            <charset val="238"/>
          </rPr>
          <t xml:space="preserve">
stari podaci
</t>
        </r>
      </text>
    </comment>
  </commentList>
</comments>
</file>

<file path=xl/sharedStrings.xml><?xml version="1.0" encoding="utf-8"?>
<sst xmlns="http://schemas.openxmlformats.org/spreadsheetml/2006/main" count="1322" uniqueCount="584">
  <si>
    <t>АЛЕКСАНДРОВАЦ</t>
  </si>
  <si>
    <t>АРИЉЕ</t>
  </si>
  <si>
    <t>БАЧКА ПАЛАНКА</t>
  </si>
  <si>
    <t>БОСИЛЕГРАД</t>
  </si>
  <si>
    <t>ВЛАСОТИНЦЕ</t>
  </si>
  <si>
    <t>ЖАБАРИ</t>
  </si>
  <si>
    <t>ИРИГ</t>
  </si>
  <si>
    <t>КРУШЕВАЦ</t>
  </si>
  <si>
    <t>ЛУЧАНИ</t>
  </si>
  <si>
    <t>ЉУБОВИЈА</t>
  </si>
  <si>
    <t>МАЛИ ИЂОШ</t>
  </si>
  <si>
    <t>МИОНИЦА</t>
  </si>
  <si>
    <t>ПОЖЕГА</t>
  </si>
  <si>
    <t>ПРОКУПЉЕ</t>
  </si>
  <si>
    <t>РАЖАЊ</t>
  </si>
  <si>
    <t>СВИЛАЈНАЦ</t>
  </si>
  <si>
    <t>СЕЧАЊ</t>
  </si>
  <si>
    <t>СЈЕНИЦА</t>
  </si>
  <si>
    <t>СМЕДЕРЕВСКА ПАЛАНКА</t>
  </si>
  <si>
    <t>ТИТЕЛ</t>
  </si>
  <si>
    <t>ЋИЋЕВАЦ</t>
  </si>
  <si>
    <t>Matični broj</t>
  </si>
  <si>
    <t>%Pre '46</t>
  </si>
  <si>
    <t>Ниш-Подујево</t>
  </si>
  <si>
    <t>Ниш-Приштина</t>
  </si>
  <si>
    <t>Ниш-Глоговац</t>
  </si>
  <si>
    <t>Крагујевац-Пећ</t>
  </si>
  <si>
    <t>Крагујевац- Исток</t>
  </si>
  <si>
    <t>Крагујевац-Клина</t>
  </si>
  <si>
    <t>Крушевац-Гора</t>
  </si>
  <si>
    <t>Јагодина-Дечани</t>
  </si>
  <si>
    <t>Ниш-Косово Поље</t>
  </si>
  <si>
    <t>Ниш-Обилић</t>
  </si>
  <si>
    <t>Врање - Гњилане</t>
  </si>
  <si>
    <t>Врање - Витина</t>
  </si>
  <si>
    <t>Врање - Ново Брдо</t>
  </si>
  <si>
    <t>% Prema prethodnom izveštaju (24.01.2017.)</t>
  </si>
  <si>
    <t>Total</t>
  </si>
  <si>
    <t>JLS</t>
  </si>
  <si>
    <t>Napomena</t>
  </si>
  <si>
    <t>Razlika (pp)</t>
  </si>
  <si>
    <t>Broj upisa - ukupno</t>
  </si>
  <si>
    <t>Broj prepisa - ukupno</t>
  </si>
  <si>
    <t>Broj upisa posle '46</t>
  </si>
  <si>
    <t xml:space="preserve">Broj prepisa posle '46 </t>
  </si>
  <si>
    <t>% posle '46</t>
  </si>
  <si>
    <t>Total (bez Kosova)</t>
  </si>
  <si>
    <t>JLS koje su dostavile podatke</t>
  </si>
  <si>
    <t>Ukupno JLS</t>
  </si>
  <si>
    <t>% JLS koje su dostavile podatke</t>
  </si>
  <si>
    <t>% Ukupno prepisano</t>
  </si>
  <si>
    <t>/</t>
  </si>
  <si>
    <t/>
  </si>
  <si>
    <t>Broj unetih u centralni registar</t>
  </si>
  <si>
    <t>Način rada</t>
  </si>
  <si>
    <t>Datum poslednje dostavljenog transfera direktno na Centralni sistem matičnih knjiga</t>
  </si>
  <si>
    <t>Datum poslednje dostavljenog inicijalnog eksporta MDULS-u na učitavanje u Centralni sistem matičnih knjiga</t>
  </si>
  <si>
    <t>22.07.2014</t>
  </si>
  <si>
    <t>ДИРЕКТАН РАД</t>
  </si>
  <si>
    <t>08.12.2016</t>
  </si>
  <si>
    <t>06.07.2016</t>
  </si>
  <si>
    <t>20.04.2015</t>
  </si>
  <si>
    <t>18.01.2017</t>
  </si>
  <si>
    <t>30.09.2014</t>
  </si>
  <si>
    <t>08.03.2016</t>
  </si>
  <si>
    <t>16.09.2014</t>
  </si>
  <si>
    <t>28.12.2016</t>
  </si>
  <si>
    <t>26.11.2013</t>
  </si>
  <si>
    <t>04.03.2012</t>
  </si>
  <si>
    <t>24.08.2016</t>
  </si>
  <si>
    <t>27.02.2015</t>
  </si>
  <si>
    <t>14.07.2016</t>
  </si>
  <si>
    <t>05.12.2016</t>
  </si>
  <si>
    <t>28.10.2016</t>
  </si>
  <si>
    <t>07.11.2016</t>
  </si>
  <si>
    <t>30.09.2016</t>
  </si>
  <si>
    <t>02.11.2016</t>
  </si>
  <si>
    <t>13.07.2016</t>
  </si>
  <si>
    <t>13.02.2012</t>
  </si>
  <si>
    <t>13.09.2016</t>
  </si>
  <si>
    <t>23.12.2016</t>
  </si>
  <si>
    <t>21.10.2013</t>
  </si>
  <si>
    <t>Broj angažovanih na prepisu</t>
  </si>
  <si>
    <t xml:space="preserve">Prosečan broj izvršenih prepisa/angažovanom licu </t>
  </si>
  <si>
    <t>Procena broja unosa po radnom danu</t>
  </si>
  <si>
    <t>Preostalo prepisa</t>
  </si>
  <si>
    <t xml:space="preserve"> </t>
  </si>
  <si>
    <t>Procenat razlika (broj prepisa - uneto u centralni sistem)/broj prepisa</t>
  </si>
  <si>
    <t>Promena u odnosu na prethodnu nedelju</t>
  </si>
  <si>
    <t>Лесковац-Урошевац</t>
  </si>
  <si>
    <t>Лесковац-Качаник</t>
  </si>
  <si>
    <t>Лесковац-Штимље</t>
  </si>
  <si>
    <t>Лесковац-Штрпце</t>
  </si>
  <si>
    <t>Ниш-Липљан</t>
  </si>
  <si>
    <t>Јагодина-Ђаковица</t>
  </si>
  <si>
    <t>30.06.2017</t>
  </si>
  <si>
    <t>31.03.2017.</t>
  </si>
  <si>
    <t>31.07.2017</t>
  </si>
  <si>
    <t>30.04.2017</t>
  </si>
  <si>
    <t>31.03.2018</t>
  </si>
  <si>
    <t xml:space="preserve">31.12.2017. </t>
  </si>
  <si>
    <t>30.06.2017.</t>
  </si>
  <si>
    <t>31.12.2018.</t>
  </si>
  <si>
    <t>30.04.2017.</t>
  </si>
  <si>
    <t>20.09.2018.</t>
  </si>
  <si>
    <t>01.06.2017</t>
  </si>
  <si>
    <t>03.05.2017.</t>
  </si>
  <si>
    <t>30.7.2017.</t>
  </si>
  <si>
    <t>31.08.2017.</t>
  </si>
  <si>
    <t>01.09.2017</t>
  </si>
  <si>
    <t>Александровац</t>
  </si>
  <si>
    <t>Алексинац</t>
  </si>
  <si>
    <t>Апатин</t>
  </si>
  <si>
    <t>Аранђеловац</t>
  </si>
  <si>
    <t>Ариље</t>
  </si>
  <si>
    <t>Бајина Башта</t>
  </si>
  <si>
    <t>Баточина</t>
  </si>
  <si>
    <t>Бач</t>
  </si>
  <si>
    <t>Бачки Петровац</t>
  </si>
  <si>
    <t>Бела Црква</t>
  </si>
  <si>
    <t>Београд</t>
  </si>
  <si>
    <t>Бечеј</t>
  </si>
  <si>
    <t>Богатић</t>
  </si>
  <si>
    <t>-</t>
  </si>
  <si>
    <t>Бољевац</t>
  </si>
  <si>
    <t>Бор</t>
  </si>
  <si>
    <t>Босилеград</t>
  </si>
  <si>
    <t>Брус</t>
  </si>
  <si>
    <t>Бујановац</t>
  </si>
  <si>
    <t>Ваљево</t>
  </si>
  <si>
    <t>Варварин</t>
  </si>
  <si>
    <t>Велика Плана</t>
  </si>
  <si>
    <t>Велико Градиште</t>
  </si>
  <si>
    <t>Владичин Хан</t>
  </si>
  <si>
    <t>Власотинце</t>
  </si>
  <si>
    <t>Врбас</t>
  </si>
  <si>
    <t>Гаџин Хан</t>
  </si>
  <si>
    <t>Голубац</t>
  </si>
  <si>
    <t>Деспотовац</t>
  </si>
  <si>
    <t>Жабари</t>
  </si>
  <si>
    <t>Житиште</t>
  </si>
  <si>
    <t>Ириг</t>
  </si>
  <si>
    <t>Јагодина</t>
  </si>
  <si>
    <t>Кнић</t>
  </si>
  <si>
    <t>Ковачица</t>
  </si>
  <si>
    <t>Косјерић</t>
  </si>
  <si>
    <t>Краљево</t>
  </si>
  <si>
    <t>Краљево-Вучитрн</t>
  </si>
  <si>
    <t>Краљево-Звечан</t>
  </si>
  <si>
    <t>Краљево-Зубин Поток</t>
  </si>
  <si>
    <t>Краљево-Косовска Митровица</t>
  </si>
  <si>
    <t>Краљево-Лепосавић</t>
  </si>
  <si>
    <t>Краљево-Србица</t>
  </si>
  <si>
    <t>Крупањ</t>
  </si>
  <si>
    <t>Крушевац-Ораховац</t>
  </si>
  <si>
    <t>Крушевац-Призрен</t>
  </si>
  <si>
    <t>Кула</t>
  </si>
  <si>
    <t>Кучево</t>
  </si>
  <si>
    <t>Лесковац</t>
  </si>
  <si>
    <t>Лозница</t>
  </si>
  <si>
    <t>Лучани</t>
  </si>
  <si>
    <t>Љиг</t>
  </si>
  <si>
    <t>Љубовија</t>
  </si>
  <si>
    <t>Мајданпек</t>
  </si>
  <si>
    <t>Мали Иђош</t>
  </si>
  <si>
    <t>Мионица</t>
  </si>
  <si>
    <t>Неготин</t>
  </si>
  <si>
    <t>Нова Црња</t>
  </si>
  <si>
    <t>Нови Бечеј</t>
  </si>
  <si>
    <t>Нови Пазар</t>
  </si>
  <si>
    <t>Нови Сад</t>
  </si>
  <si>
    <t>Осечина</t>
  </si>
  <si>
    <t>Оџаци</t>
  </si>
  <si>
    <t>Панчево</t>
  </si>
  <si>
    <t>Параћин</t>
  </si>
  <si>
    <t>Пирот</t>
  </si>
  <si>
    <t>Пожаревац</t>
  </si>
  <si>
    <t>Пожега</t>
  </si>
  <si>
    <t>Прешево</t>
  </si>
  <si>
    <t>Прибој</t>
  </si>
  <si>
    <t>Пријепоље</t>
  </si>
  <si>
    <t>Прокупље</t>
  </si>
  <si>
    <t>Ражањ</t>
  </si>
  <si>
    <t>Рача</t>
  </si>
  <si>
    <t>Рашка</t>
  </si>
  <si>
    <t>Рековац</t>
  </si>
  <si>
    <t>Рума</t>
  </si>
  <si>
    <t>Свилајнац</t>
  </si>
  <si>
    <t>Сечањ</t>
  </si>
  <si>
    <t>Сјеница</t>
  </si>
  <si>
    <t>Смедерево</t>
  </si>
  <si>
    <t>Смедеревска Паланка</t>
  </si>
  <si>
    <t>Сокобања</t>
  </si>
  <si>
    <t>Сомбор</t>
  </si>
  <si>
    <t>Стара Пазова</t>
  </si>
  <si>
    <t>Сурдулица</t>
  </si>
  <si>
    <t>.</t>
  </si>
  <si>
    <t>Темерин</t>
  </si>
  <si>
    <t>Тител</t>
  </si>
  <si>
    <t>Топола</t>
  </si>
  <si>
    <t>Трговиште</t>
  </si>
  <si>
    <t>Трстеник</t>
  </si>
  <si>
    <t>Тутин</t>
  </si>
  <si>
    <t>Ћићевац</t>
  </si>
  <si>
    <t>Ћуприја</t>
  </si>
  <si>
    <t>Уб</t>
  </si>
  <si>
    <t>Ужице</t>
  </si>
  <si>
    <t>Чачак</t>
  </si>
  <si>
    <t>Чока</t>
  </si>
  <si>
    <t xml:space="preserve">Preostalo radnih dana za izvršenje prepisa - procena </t>
  </si>
  <si>
    <t>Preostalo radnih dana na osnovu brzine unosa prethodne nedelje</t>
  </si>
  <si>
    <t>Pre '46</t>
  </si>
  <si>
    <t>Posle '46</t>
  </si>
  <si>
    <t># LSU</t>
  </si>
  <si>
    <t>Kosovo (0/1)</t>
  </si>
  <si>
    <t>LSU</t>
  </si>
  <si>
    <t>LSU koje su na 100%</t>
  </si>
  <si>
    <t>LSU koje su dostavile izveštaj</t>
  </si>
  <si>
    <t>LSU koje su na preko 90%</t>
  </si>
  <si>
    <t>LSU koje su na preko 80%</t>
  </si>
  <si>
    <t>LSU koje su na preko 70%</t>
  </si>
  <si>
    <t>LSU koje su na preko 50%</t>
  </si>
  <si>
    <t>LSU koje su na ispod 50%</t>
  </si>
  <si>
    <t>#</t>
  </si>
  <si>
    <t>%</t>
  </si>
  <si>
    <t>Upisi u MK</t>
  </si>
  <si>
    <t>Prepisi u elektronski format</t>
  </si>
  <si>
    <t>o/w Prepisi u Centralni registar</t>
  </si>
  <si>
    <t>20 "najlošijih"</t>
  </si>
  <si>
    <t>% LSU</t>
  </si>
  <si>
    <t>sa Kosovom</t>
  </si>
  <si>
    <t>bez Kosova</t>
  </si>
  <si>
    <t>% ukupno</t>
  </si>
  <si>
    <t>///</t>
  </si>
  <si>
    <t>unesite naziv JLS -</t>
  </si>
  <si>
    <t>Опово</t>
  </si>
  <si>
    <t>Процена датума завршетка према ЈЛС</t>
  </si>
  <si>
    <t>upit-poređenje tri LSU</t>
  </si>
  <si>
    <t>Нема</t>
  </si>
  <si>
    <t>Призрен</t>
  </si>
  <si>
    <t>Ораховац</t>
  </si>
  <si>
    <t>општина Штрпце</t>
  </si>
  <si>
    <t>општина Штимље</t>
  </si>
  <si>
    <t>општина Урошевац</t>
  </si>
  <si>
    <t>општина Качаник</t>
  </si>
  <si>
    <t>Врање - Косовска Каменица</t>
  </si>
  <si>
    <t>Укупно</t>
  </si>
  <si>
    <t>% укупно</t>
  </si>
  <si>
    <t>% укупно 10.2.2017.</t>
  </si>
  <si>
    <t>ЛСУ</t>
  </si>
  <si>
    <t>% после '46</t>
  </si>
  <si>
    <t>% после '46 10.2.2017.</t>
  </si>
  <si>
    <t>нема</t>
  </si>
  <si>
    <t>завршено</t>
  </si>
  <si>
    <t>Завршен</t>
  </si>
  <si>
    <t>Bez Kosova</t>
  </si>
  <si>
    <t>Јединица локалне самоуправе</t>
  </si>
  <si>
    <t xml:space="preserve">% </t>
  </si>
  <si>
    <t>5=4/3</t>
  </si>
  <si>
    <t>8=7/6</t>
  </si>
  <si>
    <t>11=10/9</t>
  </si>
  <si>
    <t>ЈЛС (ТОТАЛ)</t>
  </si>
  <si>
    <t>Ниш</t>
  </si>
  <si>
    <t>Зрењанин</t>
  </si>
  <si>
    <t>Суботица</t>
  </si>
  <si>
    <t>Крагујевац</t>
  </si>
  <si>
    <t>Сремска Митровица</t>
  </si>
  <si>
    <t>Крушевац</t>
  </si>
  <si>
    <t>Шабац</t>
  </si>
  <si>
    <t>Врање</t>
  </si>
  <si>
    <t>Кикинда</t>
  </si>
  <si>
    <t>Инђија</t>
  </si>
  <si>
    <t>Вршац</t>
  </si>
  <si>
    <t>Шид</t>
  </si>
  <si>
    <t>Зајечар</t>
  </si>
  <si>
    <t>Сента</t>
  </si>
  <si>
    <t>Књажевац</t>
  </si>
  <si>
    <t>Бачка Топола</t>
  </si>
  <si>
    <t>Ивањица</t>
  </si>
  <si>
    <t>Петровац на Млави</t>
  </si>
  <si>
    <t>Ковин</t>
  </si>
  <si>
    <t>Алибунар</t>
  </si>
  <si>
    <t>Кањижа</t>
  </si>
  <si>
    <t>Сврљиг</t>
  </si>
  <si>
    <t>Бабушница</t>
  </si>
  <si>
    <t>Кладово</t>
  </si>
  <si>
    <t>Ада</t>
  </si>
  <si>
    <t>Лебане</t>
  </si>
  <si>
    <t>Куршумлија</t>
  </si>
  <si>
    <t>Жабаљ</t>
  </si>
  <si>
    <t>Димитровград</t>
  </si>
  <si>
    <t>Житорађа</t>
  </si>
  <si>
    <t>Нови Кнежевац</t>
  </si>
  <si>
    <t>Бела Паланка</t>
  </si>
  <si>
    <t>Владимирци</t>
  </si>
  <si>
    <t>Мало Црниће</t>
  </si>
  <si>
    <t>Нова Варош</t>
  </si>
  <si>
    <t>Медвеђа</t>
  </si>
  <si>
    <t>Блаце</t>
  </si>
  <si>
    <t>Србобран</t>
  </si>
  <si>
    <t>Бојник</t>
  </si>
  <si>
    <t>Жагубица</t>
  </si>
  <si>
    <t>Врњачка Бања</t>
  </si>
  <si>
    <t>Коцељева</t>
  </si>
  <si>
    <t>Дољевац</t>
  </si>
  <si>
    <t>Мерошина</t>
  </si>
  <si>
    <t>Пландиште</t>
  </si>
  <si>
    <t>Беочин</t>
  </si>
  <si>
    <t>Пећинци</t>
  </si>
  <si>
    <t>Лајковац</t>
  </si>
  <si>
    <t>Чајетина</t>
  </si>
  <si>
    <t>Мали Зворник</t>
  </si>
  <si>
    <t>Лапово</t>
  </si>
  <si>
    <t>Црна Трава</t>
  </si>
  <si>
    <t>Сремски Карловци</t>
  </si>
  <si>
    <t>Крушевац-Сува Река</t>
  </si>
  <si>
    <t>Бачка Паланка</t>
  </si>
  <si>
    <t>2 -</t>
  </si>
  <si>
    <t xml:space="preserve">1 - </t>
  </si>
  <si>
    <t>Од 1946. године воде се државне матичне књиге, а до 1946. године водиле су се и верске матичне књиге</t>
  </si>
  <si>
    <t>Законом о матичним књигама (члан 40) матичне књиге и списи на основу којих је извршен упис у матичне књиге по истеку 100 година од последњег уписа записнички се предају као целина (архивски фонд) на чување надлежном архиву.</t>
  </si>
  <si>
    <t>3 -</t>
  </si>
  <si>
    <t>Законом о матичним књигама (члан 6 став 3.) послови вођења матичних књига и решавања у првостепеном управном поступку у области матичних књига за подручје Аутономне покрајине Косово и Метохија поверавају се: граду Нишу за град Приштину и општине: Подујево, Глоговац, Обилић, Липљан и Косово Поље; граду Крагујевцу за општине: Пећ, Исток и Клина; граду Краљеву за општине: Косовска Митровица, Србица, Зубин Поток, Вучитрн, Звечан и Лепосавић; граду Крушевцу за општине: Призрен, Ораховац, Сува Река и Гора;граду Јагодини за општине: Ђаковица и Дечани; граду Врању за општине: Гњилане, Витина, Косовска Каменица и Ново Брдо; граду Лесковцу за општине: Урошевац, Качаник, Штимље и Штрпце. Послове из става 3. овог члана извршава градска управа.</t>
  </si>
  <si>
    <t>Горњи Милановац</t>
  </si>
  <si>
    <t>Укупан број уписа у матичним књигама у папирном облику</t>
  </si>
  <si>
    <t>Укупан број преписа матичних књига из папирног у електронски облик</t>
  </si>
  <si>
    <t>Јединице локалне самоуправе (УКУПНО)</t>
  </si>
  <si>
    <t>% Укупан број преписа матичних књига из папирног у електронски облик (100%)</t>
  </si>
  <si>
    <t>% Укупан број преписа матичних књига из папирног у електронски облик (90% - 99,9%)</t>
  </si>
  <si>
    <t>% Укупан број преписа матичних књига из папирног у електронски облик (80% - 89,9%)</t>
  </si>
  <si>
    <t>% Укупан број преписа матичних књига из папирног у електронски облик (70% - 79,9%)</t>
  </si>
  <si>
    <t>% Укупан број преписа матичних књига из папирног у електронски облик (50% - 69,9%)</t>
  </si>
  <si>
    <t>% Укупан број преписа матичних књига из папирног у електронски облик (0% - 49,9%)</t>
  </si>
  <si>
    <r>
      <t>После 1946.године</t>
    </r>
    <r>
      <rPr>
        <vertAlign val="superscript"/>
        <sz val="11"/>
        <color theme="1"/>
        <rFont val="Calibri"/>
        <family val="2"/>
        <scheme val="minor"/>
      </rPr>
      <t>1</t>
    </r>
  </si>
  <si>
    <t># ЈЛС</t>
  </si>
  <si>
    <t>% ЈЛС</t>
  </si>
  <si>
    <t>Broj upisa pre '46   (pre '16 + '16 do '46)</t>
  </si>
  <si>
    <t>Broj prepisa pre '46       (pre '16 + '16 do '46)</t>
  </si>
  <si>
    <t>Књиге су предате Историјском архиву Зрењанин</t>
  </si>
  <si>
    <t>% poslednjih 100 godina</t>
  </si>
  <si>
    <t>Broj prepisa - poslednih 100 godina</t>
  </si>
  <si>
    <t>Broj upisa - poslednih 100 godina</t>
  </si>
  <si>
    <t>Napomena - arhiviranje</t>
  </si>
  <si>
    <t>Уписи за књиге до 1916.године нису приказани у целости због поступка коричења и архивирања које је у току.</t>
  </si>
  <si>
    <t>Број од 7284 уписа који су извршени пре 2016. године, налазе се у књигама за више година, у којима су последњи уписи млађи од 2016. године и због тога се те матичне књиге не могу предати надлежном архиву.</t>
  </si>
  <si>
    <t>Број уписа је приказиван, књиге ће бити архивиране до краја 2017.године,</t>
  </si>
  <si>
    <t>Књиге од чијег је последњег уписа прошло 100 година смо архивирали, а остале ћемо кад се наврши 100 година од последњег уписа.</t>
  </si>
  <si>
    <t>Св уписи у књигама до 1916 године из папирног облика су преписани у електронски. У току је архивирање фотокопираних књига и предај Архиву на чување.</t>
  </si>
  <si>
    <t>КЊИГЕ НИСУ АРХИВИРАНЕ ИЗ РАЗЛОГА ШТО ОБУХВАТАЈУ И ГОДИНЕ УПИСА ПОСЛЕ 1916 ГОДИНЕ И БИЋЕ АРХИВИРАНЕ КАДА ЗАДЊИ ТЕКУЋИ БРОЈ БУДЕ СТАРИЈИ ОД 100 ГОДИНА.</t>
  </si>
  <si>
    <t>број уписа је приказиван, књиге ће бити архивиране до краја 2017.године</t>
  </si>
  <si>
    <t>8 књига није архивирано из разлога што су последњи уписи у датим књигама после 1916 године, а потребно је да прође 100 година од последњег уписа за архивирање. Године архивирања, по књигама су: 2018, 2019, 2022, 2025, 2027, 2031 и  2035 година.</t>
  </si>
  <si>
    <t>Завршено је.</t>
  </si>
  <si>
    <t>уписи до 1916. се физички налазе у књигама са 1916.г и зато још није могуће архивирати их</t>
  </si>
  <si>
    <t>Све матичне књиге које су у складу са законом могле да се архивирају предате су надлежном Историјском архиву у Неготину. Неке од тих књига су претходно и пренете у елекронски облик.</t>
  </si>
  <si>
    <t>По истеку рока од 100 год.</t>
  </si>
  <si>
    <t>До сада смо приказивали број уписа за књиге до 1916.године, а поступак архивирања је у припреми, а о датуму ћемо вас обавестити након консултације са управним инспектором</t>
  </si>
  <si>
    <t>Немамо број уписа, само број извршених преписа. Књиге су архивиране</t>
  </si>
  <si>
    <t>Број уписа је приказиван, књиге ће бити архивиране до краја 2017.године</t>
  </si>
  <si>
    <t>Неке матичне књиге су вођене за више година па нису могле да се предају на чување Историјском архиву, све црквене књиге су фотокопиране и чекају на предају Цркви која нас стално на то подсећа. Проследили смо захтев Историјском архиву за преузимање неоперативних књига, за које је то могуће.</t>
  </si>
  <si>
    <t>Број уписа је приказиван, књиге ће бити архивиране до краја 2017.године.</t>
  </si>
  <si>
    <t>приказивани су и раније</t>
  </si>
  <si>
    <t>архивиране су све књиге до 1907.г., неке и до 1915.г. , остале књиге обухватају уписе и после 1916.г .</t>
  </si>
  <si>
    <t>Упитник је био у другом облику и није захтевао ту информацију, већ збирно до 1946, а књихе нисмо архивирали из разлога што смо вршили препис истих у електронски облик. Биће архивиране до 30.06.2017.</t>
  </si>
  <si>
    <t>Излучивање/архивирање матичних књига је извршено према закону. У месним канцеларијама су књиге од 1916 године.</t>
  </si>
  <si>
    <t>у току је архивирања</t>
  </si>
  <si>
    <t>Приказивали смо број уписа књига до 1916, год. а са уносом података у електронски облик смо завршили до краја марта 2017.године.</t>
  </si>
  <si>
    <t>Већ смо приказивали</t>
  </si>
  <si>
    <t>Књиге су архивиране</t>
  </si>
  <si>
    <t>Недостатак кадрова и повећан обим посла, а архивирање ћемо завршити до септембра 2017.године.</t>
  </si>
  <si>
    <t>Нема матичних књига које садрже последњи упис старији од 1916. године, да би се могле предати надлежном архиву. То су матичне књиге у којима је први упис 1900. године, а последњи 1934 или млађи.</t>
  </si>
  <si>
    <t>архивирање је извршено</t>
  </si>
  <si>
    <t>Приказан је број уписа за књиге до 1916. Историјском архиву Неготин предате су 32. матичне књиге, од1881 до 1916.г.</t>
  </si>
  <si>
    <t>СВЕ КЊИГЕ ДО 1916. ГОДИНЕ СУ ПРЕДАТЕ ИСТОРИЈСКОМ АРХИВУ</t>
  </si>
  <si>
    <t>у сви подаци, и за матичне књиге старије од 1916. године, а процес арховирања ћемо завршити до краја године</t>
  </si>
  <si>
    <t>књиге су архивиране</t>
  </si>
  <si>
    <t>Приказано 1929 уписа који су преписани у Централни систем</t>
  </si>
  <si>
    <t>ЗАВРШЕНО ЈЕ</t>
  </si>
  <si>
    <t>До сада није приказиван број уписа за књиге до 1916. године. Недавно је завршена копија црквених књига.</t>
  </si>
  <si>
    <t>У сваком недељном извештају који смо достављали током процеса преписа, приказивали смо број преписа и за матичне књиге пре 1916. године</t>
  </si>
  <si>
    <t>Сви подаци су унешени.</t>
  </si>
  <si>
    <t xml:space="preserve">Нисмо још архивирали књиге до 1916. године. Општинска Управа Није склопила Уговор о вези ахивирања. У најкраћем року ћемо договорити око предаје.   </t>
  </si>
  <si>
    <t>У неким књигама је упис за више годишта па зато није извршено архивирање истих</t>
  </si>
  <si>
    <t>архивирали смо</t>
  </si>
  <si>
    <t>нисмо архивирали неке књиге пре 1916 године из разлога што се у тим књигама налазе уписи више година као на пример  од 1912-1922226</t>
  </si>
  <si>
    <t>Није архивирано јер књиге које треба архивирати воде се и за млађе генерације</t>
  </si>
  <si>
    <t xml:space="preserve">Приказивани су сви уписи.Књиге до 1916 године нису архивиране,део књига архивираћемо до 31.12.2017 године, а до књига нећемо моћи са разлога што су у једној књизи године од 1911 до 1922 </t>
  </si>
  <si>
    <t>Књиге до 1915.године већ смо архивирали.</t>
  </si>
  <si>
    <t>Црквене књиге су архивирани децембра 2016.год.</t>
  </si>
  <si>
    <t>Све књиге које су самосталне до 1916. године су архивиране, али су остале књиге које су спојене са књигама после 1916. године. Наведене књиге ћемо архивирати када се стекну законски услови за архивирање.</t>
  </si>
  <si>
    <t>У постуку смо архивирања, с обзиром да су то црквене књиге, које смо фотокопирали и фотокопије ћемо архивирати, а орегинале предати Цркви.Оквирно овај процес ћемо завршити до 01.09.2017. г.</t>
  </si>
  <si>
    <t>Само архивирање књига не зависи само од нас али се надамо да ће у наредна два месеца процес архивирања бити завршен.</t>
  </si>
  <si>
    <t>АРХИВИРАНО</t>
  </si>
  <si>
    <t>Све књиге до 1916. године су пренете у електронски облик, али нису архивиране. Биће архивиране до 31.12.2017. год.</t>
  </si>
  <si>
    <t>Делимично аривирано а остатак до 31.12.2017</t>
  </si>
  <si>
    <t>У децембру 2016. смо Историјском архиву у Зрењанину предали матичне књиге до 1916. године</t>
  </si>
  <si>
    <t>Општина Мали Иђош је архивирала све матичне књиге до 1916. године Историјском архиву у Суботици</t>
  </si>
  <si>
    <t>У досадашњим извештајима приказивали смо број уписа за књиге до 1916.год</t>
  </si>
  <si>
    <t>Књиге нису архивиране из разлога што је по неки извод издат из тих књига, архивираћемо их до 01.07.2017. године</t>
  </si>
  <si>
    <t>Све Матичне књиге до 1916. године су архивиране укључујући и 762 уписа који су и преписани у ел. облик</t>
  </si>
  <si>
    <t>Матичне књиге нису архивиране из разлога што имамо Црквене књиге и МКР које се воде за период од 1900-1929 године</t>
  </si>
  <si>
    <t>незванично смо сазнали да историјски архив у Ваљеву нема расположивог простора за чување Матичних књига, а на упућени званични допис нисмо добили одговор.</t>
  </si>
  <si>
    <t>Arhivirano</t>
  </si>
  <si>
    <t>Приказивали смо све књиге.</t>
  </si>
  <si>
    <t>унете књиге</t>
  </si>
  <si>
    <t>Архивирање ћемо извршити до 15.06.2017.</t>
  </si>
  <si>
    <t>Матичне књиге са уписима до 1916. године нису архивиране јер се налазе на копирању. Процес архивирања биће завршен до 31.08.2017. године.</t>
  </si>
  <si>
    <t>у великом броју књига уписи су вршени и после 1916. године</t>
  </si>
  <si>
    <t>Процес орхивирања је започет и биће завршен до 31.05.2018.године.</t>
  </si>
  <si>
    <t>Судски спор са правним лицем и потребно је спровођење новог поступка јавне набаке израде копија и коричења књига 31.12.2017</t>
  </si>
  <si>
    <t>Књиге су спремне за архив и предат је захтев.Рок за преузимање је 01.09.2017.</t>
  </si>
  <si>
    <t>приказивали смо</t>
  </si>
  <si>
    <t>Poslednjih 100 godina</t>
  </si>
  <si>
    <t xml:space="preserve">Pre 1916. </t>
  </si>
  <si>
    <t xml:space="preserve">% последњих 100 година </t>
  </si>
  <si>
    <t>Broj upisa pre '46   (24.05.2017.)</t>
  </si>
  <si>
    <t>Broj prepisa pre '46       (24.05.2017.)</t>
  </si>
  <si>
    <t>%Pre '46 (24.05.2017.)</t>
  </si>
  <si>
    <t>Разлика пре 46 (31.05.-24.05.2017.)</t>
  </si>
  <si>
    <t>Разлика уписа</t>
  </si>
  <si>
    <t>Разлика преписа</t>
  </si>
  <si>
    <t>Разлика %</t>
  </si>
  <si>
    <r>
      <t>Укупан број уписа у матичним књигама у папирном облику пoсле 1946.године</t>
    </r>
    <r>
      <rPr>
        <vertAlign val="superscript"/>
        <sz val="11"/>
        <color theme="1"/>
        <rFont val="Calibri"/>
        <family val="2"/>
        <charset val="238"/>
        <scheme val="minor"/>
      </rPr>
      <t>1</t>
    </r>
  </si>
  <si>
    <r>
      <t>Укупан број преписа матичних књига из папирног у електронски облик после 1946.године</t>
    </r>
    <r>
      <rPr>
        <vertAlign val="superscript"/>
        <sz val="11"/>
        <color theme="1"/>
        <rFont val="Calibri"/>
        <family val="2"/>
        <charset val="238"/>
        <scheme val="minor"/>
      </rPr>
      <t>1</t>
    </r>
  </si>
  <si>
    <t>Последњих 100 година 2</t>
  </si>
  <si>
    <t>приказано</t>
  </si>
  <si>
    <t>архивирано</t>
  </si>
  <si>
    <t>Матичне књиге старије од сто година су архивиране.</t>
  </si>
  <si>
    <r>
      <t>Укупан број уписа у матичним књигама у последњих 100 година</t>
    </r>
    <r>
      <rPr>
        <vertAlign val="superscript"/>
        <sz val="11"/>
        <color theme="1"/>
        <rFont val="Calibri"/>
        <family val="2"/>
        <scheme val="minor"/>
      </rPr>
      <t>2</t>
    </r>
  </si>
  <si>
    <r>
      <t>Укупан број преписа матичних књига из папирног у електронски облик у последњих 100 година</t>
    </r>
    <r>
      <rPr>
        <vertAlign val="superscript"/>
        <sz val="11"/>
        <color theme="1"/>
        <rFont val="Calibri"/>
        <family val="2"/>
        <scheme val="minor"/>
      </rPr>
      <t>2</t>
    </r>
  </si>
  <si>
    <t>архивиране</t>
  </si>
  <si>
    <t>Укупно уписа до 1916 год. 15533 архивирано је 12416 у папирном облику је 3117 а унето у електронски облик 3117</t>
  </si>
  <si>
    <t>књиге до 1916.год. предате су историјском архиву Ниш</t>
  </si>
  <si>
    <t>Процес архивирања завршен</t>
  </si>
  <si>
    <t>МК КОЈЕ НИСУ АРХИВИРАНЕ ДО 1916.Г. БИЋЕ ПРЕДАТЕ АРХИВУ СРЕМА ДО СЕПТЕМБРА 2017.Г.</t>
  </si>
  <si>
    <t>предато историјском архиву</t>
  </si>
  <si>
    <t>Direktan rad u Centralnom sistemu</t>
  </si>
  <si>
    <t>Нема.</t>
  </si>
  <si>
    <t>МКР за период 1882-1914.године која има 764 уписа и која је до сада приказивана као МКР чији уписи нису преписани, дана 10.08.2017.године записнички је предата Историјском архиву Шумадије у Крагујевцу.</t>
  </si>
  <si>
    <t>JLS koje šalju promene</t>
  </si>
  <si>
    <t>Ukupno LSU</t>
  </si>
  <si>
    <t>Рад у Централном систему</t>
  </si>
  <si>
    <t>JLS koje do septembra treba da pređu na rad u Centralnom sistemu</t>
  </si>
  <si>
    <t>Архивирали смо</t>
  </si>
  <si>
    <t>књиге архивиране</t>
  </si>
  <si>
    <t>Других промена није било.</t>
  </si>
  <si>
    <t>завршен унос</t>
  </si>
  <si>
    <t>Дана 20.07.2017. извршена је предаја матичних књига које су се водиле од 1895. до 1907. године Историјском архиву у Панчеву.</t>
  </si>
  <si>
    <t>Од 1907. до 2017. године извршен је комлетан препис матичних књига у електронски облик.</t>
  </si>
  <si>
    <t>Књиге (до 1916.год.) предате се Историјском архиву у Пожаревцу 1.9.2017.год.</t>
  </si>
  <si>
    <t>Преписи су завршени.</t>
  </si>
  <si>
    <t>МК ОД 1946-2017 ЗАКЉУЧНО СА 11.09.2017.</t>
  </si>
  <si>
    <t>Податке и пре 1916 унели смо  у  електронски облик, подаци у наведеним  књигама су приказивани и  сви уписи од 1895. године до 1916. године  унети су у електронски облик.</t>
  </si>
  <si>
    <t>Све књиге унете су  у електронски облик.</t>
  </si>
  <si>
    <t>ЈЛС са КиМ које нису завршиле препис</t>
  </si>
  <si>
    <t>Број уписа до 1916. је укупно 32961.Уписе до 1907, укупно 8931 смо архивирали дана 16.06.2017, а преписивали смо уписе од 1907-1916, њих укупно 24030 и све смо завршили.</t>
  </si>
  <si>
    <t>Разлика у броју уписа и уноса разликује се од прошлог извештаја због реконструкције страница мартичних књига (по одобрењу министра). Дат налог да се изврши провера сваког појединачног уписа и извршеног уноса.</t>
  </si>
  <si>
    <t xml:space="preserve">Пријављених 32.606 је укупан број уписа у МК до 1916.године, како из МК које садрже уписе млађе тако и старије од 100 година, које смо ми првобитно пријавили. У извештају од 01.08.2017.године смо Вас обавестили да смо завршили унос података из МК до 1916.године и то МК које су имале уписе млађе и старије од 100 година. Надлежном Архиву Шабац смо 30.08.2017.године предали на архивирање фотокопије МК до 1916.године које су садржале само уписе старије од 100 година и податке из њих нисмо уносили у Централни систем јер су испуњени услови за архивирање по закону и по инструкцијама министарства. Ту настаје разлика, у нашим извештајима, између уписа 32.606 и извршених уписа 22.825. </t>
  </si>
  <si>
    <t>Накнадном провером и бројањем уписа , к9онстатовнано је да је прилоком бројања дошло да грешке , тако да је из тог разлога дошло до смањења броја уписа до 1916. године у папирном облику.</t>
  </si>
  <si>
    <t>Започећемо поступак архивирања.</t>
  </si>
  <si>
    <t>Књиге које не садрже године које треба пренети у електронски облик су архивиране.</t>
  </si>
  <si>
    <t>Процес архивирања ће бити завршен до 31.12.2017.</t>
  </si>
  <si>
    <t>У току је процес архивирања</t>
  </si>
  <si>
    <t>Предали у архив све књиге и унели у централни све књиге,коначно</t>
  </si>
  <si>
    <t>Процес архивирања матичних књига извршен је 03. августа 2017. године.</t>
  </si>
  <si>
    <t>Општина Свилајнац завршила је унос свих уписа од 1916. године до 2017. године из папирног облика у електронски облик. У току је провера унетих података.</t>
  </si>
  <si>
    <t xml:space="preserve">Укупан број уписа од 1946. до 2017. године промењен је јер нисмо добро пребројали уписе у матичним књигама, исправан број је наведен у овом извештају. Препис матичних књига из папирног у електронски облик је завршен. </t>
  </si>
  <si>
    <t>Сви подаци су пренети из папирног у електронски облик.</t>
  </si>
  <si>
    <t>КЊИГЕ СУ АРХИВИРАНЕ 25.05.2017.</t>
  </si>
  <si>
    <t xml:space="preserve">Плаћање обавеза Историјском архиву Крушевац је извршено, али проблем је у томе што они преузимају само оригинале матичних књига. Очекујемо тумачење, односно мишљење  министарства по питању да ли се архиву предају фотокопије или оригинали црквених мат. књига.  </t>
  </si>
  <si>
    <t>препис уписа је ЗАВРШЕН. У електронски облик су унети сви записи из Матичних књига.</t>
  </si>
  <si>
    <t>АРХИВИРАЊЕ КЊИГА СТАРИЈИХ ОД СТО ГОДИНА ЈЕ ЗАВРШЕНО  25.12.2017 . ГОД (4.085 УПИСА), ДОК ЈЕ ПРЕОСТАЛО (5377) ПРЕПИСАНО У ЕЛЕКТРОНСКИ ОБЛИК</t>
  </si>
  <si>
    <t>ПРЕПИС ЗАВРШЕН</t>
  </si>
  <si>
    <t xml:space="preserve">Извршена је измена бројева уписа у матичним књигама из разлога што је након завршеног уноса података у електронски облик установљено да је део уписа (2.438) који je сврстан у период пре 1916 извршена реконструкција после 1946 и то су државне књиге. Такође  је нађен  и већи број уписа у периоду од 1916-1946, јер су се водиле посебно православне и римокатоличке књиге. Тако да је укупан број уписа за све периоде 158633 уместо раније пријављено 157997. </t>
  </si>
  <si>
    <t>унос завршен</t>
  </si>
  <si>
    <t>Сви уписи који се налазе у матичним књигама у Општини Деспотовац унешени су централни регистар.</t>
  </si>
  <si>
    <t>врши се контрола уписа у електронском облику.</t>
  </si>
  <si>
    <t>Дана 29.12.2017.год. архивиране је 35704 уписа за књиге пре 1916.год., од чега је унето у електронски облик 9274 уписа.</t>
  </si>
  <si>
    <t>Архивиране дана 14.03.2017.године</t>
  </si>
  <si>
    <t>Нема уписа матичних књига до 1916.године, који нису преписани из папирног у електронски облик за сва матична подручја на нивоу ЈЛС, а 10.595 уписа који се налазе у књигама у којима је последњи упис старији од сто година архивирано је са 31.12.2017.године.</t>
  </si>
  <si>
    <t>Процес архивирања завршен. Књиге са наведеним бројем уписа до 1916. године се користе у раду.</t>
  </si>
  <si>
    <t>Унос завршен</t>
  </si>
  <si>
    <t>Надаље се раде само текући уписи.</t>
  </si>
  <si>
    <t>Препис матичних књига из папирног у електронски облик је извршен за сва матична подручја општине Мионица.</t>
  </si>
  <si>
    <t>Datum završetka prema anketi JLS 16.01.2018.</t>
  </si>
  <si>
    <t xml:space="preserve">09.05.2017 Препис је извршен маја месеца 2017 год </t>
  </si>
  <si>
    <t>Општина Мионица је извршила препис матичних књига у електронски облик.</t>
  </si>
  <si>
    <t xml:space="preserve">НАПОМЕНА:Више пута контактирани - нису доставили датум  </t>
  </si>
  <si>
    <t>Одмах по добијању инструкција МДУЛС о уписима на мађарском језику и писму</t>
  </si>
  <si>
    <t>Процена датума завршетка свих преписа према ЈЛС  (16.01.2018.)</t>
  </si>
  <si>
    <t>Процена датума завршетка према ЈЛС за све преписе(16.01.2018.)</t>
  </si>
  <si>
    <t>Процена датума завршетка према ЈЛС за све уносе (16.01.2018.)</t>
  </si>
  <si>
    <t>ЈЛС које нису завршиле препис - после 1946.</t>
  </si>
  <si>
    <t>ЈЛС које нису завршиле препис за последњих 100 година</t>
  </si>
  <si>
    <t>Архивирање је завршено.</t>
  </si>
  <si>
    <t>Од 14929 уписа до 1916. извршен је препис у електронски облик 3763 а остало је архивирано по основу истека 100 година од уписа.</t>
  </si>
  <si>
    <t>препис завршен 13.02.</t>
  </si>
  <si>
    <t>Процес архивирања завршен.</t>
  </si>
  <si>
    <t>Матичне књиге за период до 1916.године архивиране су 22.02.2018.године у којима је садржано 12.123 уписа. Од  тог броја 1317 уписа унето је у електронски облик јер су се налазили у заједничким књигама са уписима после 1916.године</t>
  </si>
  <si>
    <t xml:space="preserve"> Сви уписи у матичне књиге у папирном облику унети су у електронски облик како за период од 1916 до 1946. године тако и за период 1946. до 2018.године (односно до 03.04.2018. године.</t>
  </si>
  <si>
    <t>Уписи вршени и после 1916. године.</t>
  </si>
  <si>
    <t>Све смо архивирали осим неколико које садрже више година.</t>
  </si>
  <si>
    <t>2025 јер се уписи налазе у заједничким књигама које подлежу архивирању.</t>
  </si>
  <si>
    <t>Смањен број уписа због радника на боловању.</t>
  </si>
  <si>
    <t>Унос смо завршили.</t>
  </si>
  <si>
    <t>*</t>
  </si>
  <si>
    <t>Градска управа је организовала препис матичних књига вођених пре 1916 године у електронски облик, али је препис отежан због непознавања мађарског језика и писма.</t>
  </si>
  <si>
    <t>Поновном провером уписа у матичним књигама до 1916.године за Општину Рековац смо утврдили да је дошло до техничке грешке приликом сабирања уписа.Укупан број уписа за матичне књиге до 1916.године је већи за двадесет уписа од досад приказиваног броја у упитнику од 54349 уписа,тако да је право стање уписа у матичне књиге до 1916.године за Општину Рековац  54369 уписа.</t>
  </si>
  <si>
    <t>Унети   подаци за  сва   матична   подручја   у  електр. облик  од 1900 - до данас.</t>
  </si>
  <si>
    <t>У потпуности је извршен препис матичних књига матичних подручја града Лесковца. Број извршених преписа за уписе од 1946 до 2018.годне је повећан јер је узет у обзир број извршених преписа података из матичних књига од  почетка директног рада у централном систему матичних књига до 05.06.2018.године.</t>
  </si>
  <si>
    <t>------</t>
  </si>
  <si>
    <t>Препис књига у електонски облик за општину Ораховац је завршен. Књиге старије од 1916.год. су архивиране.</t>
  </si>
  <si>
    <t>Књиге су предате надлежном Историјском архиву.</t>
  </si>
  <si>
    <t>Сви уписи за општину Призрен, из папирног облика пренети  су у електонски облик . Књиге старије од 1916.год. су архивиране.</t>
  </si>
  <si>
    <t>Завршили смо са уписима и архивирањем.</t>
  </si>
  <si>
    <t>Уписи од 1852.год. до 1946.год су у једној књизи ,тако да нема потребе за архивом.</t>
  </si>
  <si>
    <t>Матична служба Ђаковица је завршила унос матичних књига из папирног у електронски облик.</t>
  </si>
  <si>
    <t>До 1916.године имало је 54369 уписа у папирном облику од чега је 11253 унето у електронском облику а остатак 43116 уписа је архивирано и предато месно надлежним црквама.</t>
  </si>
  <si>
    <t>Овим извештаје констатујемо да смо извршили препис матичних књига у електронски облик.</t>
  </si>
  <si>
    <t>Препис података за општину Србица из папирног у електронски облик је завршен.</t>
  </si>
  <si>
    <t>Немамо матичне књиге за архивирање.</t>
  </si>
  <si>
    <t>Препис матичних књига за општину Звечан из папирног у електронски облик је завршен.</t>
  </si>
  <si>
    <t>Препис матичних књига за општину Вучитрн из папирног у електронски облик је завршен.</t>
  </si>
  <si>
    <t>Општина Вучитрн нема књиге за архивирање.</t>
  </si>
  <si>
    <t>једна књига за архивирање која је пренета у електронски облик</t>
  </si>
  <si>
    <t>Књиге предате Архиву</t>
  </si>
  <si>
    <t>Упис ја завршен.</t>
  </si>
  <si>
    <t xml:space="preserve">У папирном облику постоји  108661 уписа у периоду до 1916. године, од чега је 21203 преписано у електронски облик. Копије црквених матичних књига излучене су Архиву Срема. </t>
  </si>
  <si>
    <t>Препис матичних књига из папирног у електронски облик завршен.</t>
  </si>
  <si>
    <t>укупно унето у претх.периоду  -- 60</t>
  </si>
  <si>
    <t>Општина Зубин Поток нема књига за архивирање.</t>
  </si>
  <si>
    <t>Препис матичних књига за општину Зубин Поток из папирног у електронски облик је завршен.</t>
  </si>
  <si>
    <t>Унос књига је завршен, књиге су копиране и биће предате Архиву Новог Сада.</t>
  </si>
  <si>
    <t>У периоду до 1916 године је у папирном облику уписано 59392 уписа од чега је у електронском облику унето 2220, тако да је та разлика комплетирана и предата Архиву Новог Сада.</t>
  </si>
  <si>
    <t>Обавезан препис у електонски облик је завршен.Процес архивирања књига је  завршен и књиге старије од 100 година записнички су предате су историјском архиву Ужице дана 28.08.2018 .године.Од укупног броја уписа у папирном облику књига старијих од  100 година -43088 унето је у електонски облик 34100 ,остало су уписи из књига старијих од 1900.године које су архивиране и нема повезаних књига са књигама млађих од 100 година.</t>
  </si>
  <si>
    <t>До 1916.године било је 2534 уписа у папирном облику ,који нису пренети у електронски облик јер су старији од 100 година и налазе се у одвојеним књигама, које су предате Историјском архиву Шумадије.</t>
  </si>
  <si>
    <t>УНОС ЗАВРШЕН.</t>
  </si>
  <si>
    <t>Уписи вршени и после 1916. год. Књиге ће бити архивиране чим се за то стекну услови.</t>
  </si>
  <si>
    <t>Пренос података из папирног у електронски облик за општину Косовска Митровица је завршен.</t>
  </si>
  <si>
    <t>Уписи вршени и после 1916. године. Књиге ће бити архивиране чим се за то стекну услови.</t>
  </si>
  <si>
    <t>Пренос података из папирног у електронски облик за општину Лепосавић је завршен.</t>
  </si>
  <si>
    <t>31.12.2018</t>
  </si>
  <si>
    <t>22.08.2017 архивиране</t>
  </si>
  <si>
    <t>Општина Аранђеловац је предала захтев за излучивање црквених књига чији је последњи упис старији од 1916.године и искористиће први слободан термин до краја јануара да књиге и преда историјском архиву шумадије у Крагујевцу.</t>
  </si>
  <si>
    <t>Општина Аранђеловац је извршила комплетан препис и архивирање матичних књига.</t>
  </si>
  <si>
    <t>У недељном упитнику приказан је број уписи за све матичне књиге општине Качаник.</t>
  </si>
  <si>
    <t>У недељном упитнику приказан је број уписи за све матичне књиге општине Штимље.</t>
  </si>
  <si>
    <t>У недељном упитнику приказан је број уписи за све матичне књиге општине Урошевац.</t>
  </si>
  <si>
    <t>Унешени сви уписи који су требали бити унешени по инструкцијама МДУЛС-а.</t>
  </si>
  <si>
    <t>Градска управа од 1. јануара 2019. године не врши препис матичних књига вођених пре 1916. године у електронски облик кроз локалну апликацију, већ уноси директно податке у матичнњ књиге у оквиру Регистра матичних књига.</t>
  </si>
  <si>
    <t>Укупан унет број преписа је 1588, и са тим бројем уписи  матичних књига су сви извршени.</t>
  </si>
  <si>
    <t xml:space="preserve">Писмено смо се   обратили   Министарству  , ради  предаје  црквених   матичних   књига . </t>
  </si>
  <si>
    <t>Очекујемо инструкције везане за предају црквених матичних књига црквама те за архивирање фотокопија црквених матичних књига.</t>
  </si>
  <si>
    <t>Градска управа је предала Историјском архиву у Панчеву матичне књиге вођене пре 1916. године за сва матична подручја на територији града Панчева 18. и 25. априла 2019. године.</t>
  </si>
  <si>
    <t>Број  уписа до 1916. године  је  22217 , од  тога је у електронском облику унето 9782  уписа  , остали су предати Историјском архиву у Новом Саду.</t>
  </si>
  <si>
    <t>Од укупно 89148 уписа у матичним књигама вођеним пре 1916. године, у електронски облик је преписано 69086 уписа, а остатак од 20062 уписа се налази у матичним књигама у папирном облику које су предате Историјском архиву у Панчеву.</t>
  </si>
  <si>
    <t>У складу са инструкцијом министарства од 10.04.2019.године број 20-00-164/2019-26 Историјском Архиву у Чачку дана 25.04.2019.године предато је шест књига старијих од 100.година од последњег уписа, које су копиране и дана 30.04.2019.године две књиге и то једна на старословенском језику за период од 1874 до 1880 године и једна за период од 1897 до 1912 године које нису копиране. Од 28.148, укупног броја уписа у електронски облик унето је 13.477, а остатак је предат Архиву на даљу надлежност. У складу са напред наведеним Општинска управа општине Лучани извршила је обавезу из члана 40. Закона о матичним књигама.</t>
  </si>
  <si>
    <t xml:space="preserve">Уписи  до 1916.  године  архивирани, предати Историјском архиву у Новом  Саду, на основу Инструкције Министарства. </t>
  </si>
  <si>
    <t>До 1916. године у папирном облику је било 35442 уписа од тога је унето 5476 уписа у електронски облик. Разлика уписа је у матичним књигама које су 30.04.2019. године предате Историјском архиву града Новог Сада.</t>
  </si>
  <si>
    <t>До1916.године упапирном облику било је 4550 уписа.У електронски облик је унето 417 уписа а разлика од4133 уписа предата је као архивски фонд на чување ИСТОРИЈСКОМ АРХИВУ"РАС"НОВИ ПАЗАР.</t>
  </si>
  <si>
    <t>Извршен је потпун препис матичних књига општине Качаник из папирног у електронски облик.</t>
  </si>
  <si>
    <t>JLS koje su do maja trebalo da pređu na rad u Centralnom sistemu, ali nisu</t>
  </si>
  <si>
    <t>У потпуности је извршен препис матичних књига општине Штрпце.У претходно достављеним извештајима погрешно је уписано да у матичним књигама (у папирном облику) општине Штрпце има укупно 10 394 уписа од 1916. до 1946.године и 35 577 уписа од 1946. до 2019. године. Поновном провером је уврђено да у наведеним матичним књигама има укупан 14 196 уписа  од 1916. до 1946. године и 30501 упис од 1946. до 2019. године.</t>
  </si>
  <si>
    <t>У потпуности је извршен препис матичних књига општине Штимље.У претходно достављеним извештајима погрешно је уписано да у матичним књигама (у папирном облику) општине Штимље има укупно 4 139 уписа од 1916. до 1946. године и 47 924 уписа од 1946. до 2019. године. Поновном провером је уврђено да у наведеним матичним књигама има укупан 3 500 уписа од 1916. до 1946. године и 45 556 уписа од 1946. до 2019. године.</t>
  </si>
  <si>
    <t>5 "најлошијих" укупно</t>
  </si>
  <si>
    <t>Архивиране су старе књиге и завршили смо препис из МК у електронски облик.</t>
  </si>
  <si>
    <t>Завршили смо препис из МК у електронски облик. за период од 1916.г. до 1945.г. у МКВ постојало је неслагање у броју уписа и преписа /21/. Прегледом и коначним пребројавањем утврђен је исти број недостајућих преписа који је извршен са 30.09.2019.г. те је проценат преписа из МК сада 100%. /18677 уписа и 18677 преписа/.</t>
  </si>
  <si>
    <t>У потпуности је извршен препис матичних књига општине Урошевац.У претходно достављеним извештајима погрешно је уписивано да у матичним књигама (у папирном облику) општине Урошевац има укупно 12 591 упис од 1916. до 1946.године и 253 726 уписа од 1946. до 2019. године. Поновном провером је уврђено да у наведеним матичним књигама има укупан 17 802 уписа  од 1916. до 1946. године и 180 402 упис од 1946. до 2019. године.</t>
  </si>
  <si>
    <t>КЊИГЕ СУ АРХИВИРАНЕ 30.06.2017.Г. И 30.04.2019..</t>
  </si>
  <si>
    <t>процес ажурирања завршен 19.04.2021</t>
  </si>
  <si>
    <t>Напомене - Архивирање 26.05.2020.</t>
  </si>
  <si>
    <t>Напомене 26.05.2020.</t>
  </si>
  <si>
    <r>
      <t xml:space="preserve">Broj upisa pre '16 </t>
    </r>
    <r>
      <rPr>
        <sz val="10"/>
        <color theme="1"/>
        <rFont val="Calibri"/>
        <family val="2"/>
        <charset val="238"/>
        <scheme val="minor"/>
      </rPr>
      <t>(08.09.2020.)</t>
    </r>
  </si>
  <si>
    <t>Broj prepisa pre '16 (08.09.2020.)</t>
  </si>
  <si>
    <t>%Pre '16 (08.09.2020.)</t>
  </si>
  <si>
    <t>Broj upisa '16 - '46 (08.09.2020.)</t>
  </si>
  <si>
    <t>Broj prepisa '16 - '46 (08.09.2020.)</t>
  </si>
  <si>
    <t>% '16 - '46 (08.09.2020.)</t>
  </si>
  <si>
    <t>Процес архивирања ће се наставити после извршеног преписа зато што су верске књиге физички неодвојиве, односно године које се могу архивирати су заједно са оним које треба преписати</t>
  </si>
  <si>
    <t>Успорена је активност на упису из папирног у електронски облик због већег ангажовања матичара на шалтерима као и због одсуства једног броја матичара услед болести и одмора.</t>
  </si>
  <si>
    <t>МАТИЧНЕ КЊИГЕ ДО 1916. ГОДИНЕ СУ АРХИВИРАНЕ И НАЛАЗЕ СЕ У АРХИВУ ГРАДА НОВОГ САДА .</t>
  </si>
  <si>
    <t>У ПЕРИОДУ ОД 1895.Г. ДО 1916.Г. БИЛО ЈЕ УКУПНО 267715 УПИСА У ПАПИРНОМ ОБЛИКУ, ОД ЧЕГА ЈЕ У ЕЛЕКТРОНСКИ ОБЛИК УНЕТО 12084 У ПИСА, И СВЕ ЈЕ ТО КОМПЛЕТНО ПРЕДАТО АРХИВУ ГРАДА НОВОГ САДА</t>
  </si>
  <si>
    <t>Од 1916.г до 1946.г одрађено 240 преписа из папирног у електронски облик за период од 31.08 до 07.09.2020.г</t>
  </si>
  <si>
    <t>До повећања укупног броја уписа од 1916 до 1946 дошло је јер нису биле урачунаре верске (муслиманске) МК, до повећања укупног броја уписа од 1946 до 2020 дошло је због погрешно утврђеног (пребројаног) укупног броја уписа и делом због дуплих уписа.</t>
  </si>
  <si>
    <t>На основу података које су доставиле ЈЛС 08.09.2020.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</si>
</sst>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F400]h:mm:ss\ AM/PM"/>
    <numFmt numFmtId="165" formatCode="0.0"/>
    <numFmt numFmtId="166" formatCode="#,##0.0"/>
    <numFmt numFmtId="167" formatCode="d\.m\.yyyy;@"/>
    <numFmt numFmtId="168" formatCode="d\.m\.yy;@"/>
  </numFmts>
  <fonts count="2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b/>
      <sz val="12"/>
      <color theme="1"/>
      <name val="Calibri"/>
      <family val="2"/>
      <charset val="238"/>
      <scheme val="minor"/>
    </font>
    <font>
      <sz val="11"/>
      <name val="Calibri"/>
      <family val="2"/>
      <charset val="238"/>
      <scheme val="minor"/>
    </font>
    <font>
      <sz val="10"/>
      <name val="Arial"/>
      <family val="2"/>
      <charset val="238"/>
    </font>
    <font>
      <sz val="10"/>
      <color rgb="FF000000"/>
      <name val="Arial"/>
      <family val="2"/>
    </font>
    <font>
      <b/>
      <sz val="11"/>
      <color theme="1"/>
      <name val="Calibri"/>
      <family val="2"/>
      <charset val="238"/>
      <scheme val="minor"/>
    </font>
    <font>
      <sz val="10"/>
      <color rgb="FF000000"/>
      <name val="Arial"/>
      <family val="2"/>
    </font>
    <font>
      <sz val="9"/>
      <color indexed="81"/>
      <name val="Tahoma"/>
      <family val="2"/>
    </font>
    <font>
      <b/>
      <sz val="9"/>
      <color indexed="81"/>
      <name val="Tahoma"/>
      <family val="2"/>
    </font>
    <font>
      <vertAlign val="superscript"/>
      <sz val="11"/>
      <color theme="1"/>
      <name val="Calibri"/>
      <family val="2"/>
      <charset val="238"/>
      <scheme val="minor"/>
    </font>
    <font>
      <vertAlign val="superscript"/>
      <sz val="11"/>
      <color theme="1"/>
      <name val="Calibri"/>
      <family val="2"/>
      <scheme val="minor"/>
    </font>
    <font>
      <sz val="11"/>
      <color rgb="FF000000"/>
      <name val="Calibri"/>
      <family val="2"/>
      <charset val="238"/>
      <scheme val="minor"/>
    </font>
    <font>
      <sz val="10"/>
      <color theme="1"/>
      <name val="Arial"/>
      <family val="2"/>
      <charset val="238"/>
    </font>
    <font>
      <sz val="10"/>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scheme val="minor"/>
    </font>
    <font>
      <sz val="11"/>
      <color theme="1"/>
      <name val="Calibri"/>
      <family val="2"/>
      <scheme val="minor"/>
    </font>
    <font>
      <sz val="11"/>
      <color indexed="8"/>
      <name val="Calibri"/>
      <family val="2"/>
      <charset val="238"/>
    </font>
    <font>
      <sz val="11"/>
      <name val="Calibri"/>
      <family val="2"/>
      <scheme val="minor"/>
    </font>
    <font>
      <sz val="12"/>
      <color theme="1"/>
      <name val="Calibri"/>
      <family val="2"/>
      <scheme val="minor"/>
    </font>
  </fonts>
  <fills count="23">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59999389629810485"/>
        <bgColor indexed="65"/>
      </patternFill>
    </fill>
    <fill>
      <patternFill patternType="solid">
        <fgColor indexed="31"/>
        <bgColor indexed="44"/>
      </patternFill>
    </fill>
  </fills>
  <borders count="25">
    <border>
      <left/>
      <right/>
      <top/>
      <bottom/>
      <diagonal/>
    </border>
    <border>
      <left style="thin">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8">
    <xf numFmtId="0" fontId="0" fillId="0" borderId="0"/>
    <xf numFmtId="0" fontId="9" fillId="0" borderId="0"/>
    <xf numFmtId="0" fontId="11" fillId="0" borderId="0"/>
    <xf numFmtId="0" fontId="2" fillId="0" borderId="0"/>
    <xf numFmtId="9" fontId="22" fillId="0" borderId="0" applyFont="0" applyFill="0" applyBorder="0" applyAlignment="0" applyProtection="0"/>
    <xf numFmtId="0" fontId="2" fillId="21" borderId="0" applyNumberFormat="0" applyBorder="0" applyAlignment="0" applyProtection="0"/>
    <xf numFmtId="0" fontId="23" fillId="0" borderId="0"/>
    <xf numFmtId="0" fontId="23" fillId="22" borderId="0"/>
  </cellStyleXfs>
  <cellXfs count="205">
    <xf numFmtId="0" fontId="0" fillId="0" borderId="0" xfId="0"/>
    <xf numFmtId="0" fontId="0" fillId="0" borderId="0" xfId="0" applyAlignment="1"/>
    <xf numFmtId="164" fontId="0" fillId="2" borderId="1" xfId="0" applyNumberFormat="1" applyFill="1" applyBorder="1" applyAlignment="1">
      <alignment horizontal="center" vertical="center" wrapText="1"/>
    </xf>
    <xf numFmtId="164" fontId="0" fillId="2" borderId="0" xfId="0" applyNumberFormat="1" applyFill="1"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164" fontId="0" fillId="2" borderId="0" xfId="0" applyNumberFormat="1" applyFill="1" applyAlignment="1">
      <alignment horizontal="center" vertical="center" wrapText="1"/>
    </xf>
    <xf numFmtId="0" fontId="0" fillId="0" borderId="0" xfId="0" applyFill="1" applyAlignment="1"/>
    <xf numFmtId="3" fontId="0" fillId="0" borderId="0" xfId="0" applyNumberFormat="1" applyFill="1" applyAlignment="1">
      <alignment vertical="center"/>
    </xf>
    <xf numFmtId="3" fontId="0" fillId="0" borderId="0" xfId="0" applyNumberFormat="1" applyFill="1" applyAlignment="1"/>
    <xf numFmtId="165" fontId="0" fillId="0" borderId="0" xfId="0" applyNumberFormat="1" applyFill="1" applyAlignment="1">
      <alignment vertical="center"/>
    </xf>
    <xf numFmtId="3" fontId="0" fillId="2" borderId="0" xfId="0" applyNumberFormat="1" applyFill="1" applyAlignment="1">
      <alignment horizontal="center" vertical="center" wrapText="1"/>
    </xf>
    <xf numFmtId="3" fontId="0" fillId="0" borderId="0" xfId="0" applyNumberFormat="1"/>
    <xf numFmtId="1" fontId="0" fillId="0" borderId="0" xfId="0" applyNumberFormat="1" applyFill="1" applyAlignment="1"/>
    <xf numFmtId="1" fontId="0" fillId="0" borderId="0" xfId="0" applyNumberFormat="1" applyFill="1" applyAlignment="1">
      <alignment vertical="center"/>
    </xf>
    <xf numFmtId="0" fontId="0" fillId="2" borderId="2" xfId="0" applyFill="1" applyBorder="1" applyAlignment="1">
      <alignment horizontal="center" vertical="center" wrapText="1"/>
    </xf>
    <xf numFmtId="165" fontId="6" fillId="3" borderId="3" xfId="0" applyNumberFormat="1" applyFont="1" applyFill="1" applyBorder="1" applyAlignment="1">
      <alignment vertical="center"/>
    </xf>
    <xf numFmtId="165" fontId="6" fillId="3" borderId="4" xfId="0" applyNumberFormat="1" applyFont="1" applyFill="1" applyBorder="1" applyAlignment="1">
      <alignment vertical="center"/>
    </xf>
    <xf numFmtId="3" fontId="4" fillId="0" borderId="0" xfId="0" applyNumberFormat="1" applyFont="1" applyFill="1" applyAlignment="1"/>
    <xf numFmtId="3" fontId="4" fillId="0" borderId="0" xfId="0" applyNumberFormat="1" applyFont="1" applyFill="1" applyAlignment="1">
      <alignment vertical="center"/>
    </xf>
    <xf numFmtId="3" fontId="4" fillId="0" borderId="0" xfId="0" applyNumberFormat="1" applyFont="1"/>
    <xf numFmtId="3" fontId="7" fillId="0" borderId="0" xfId="0" applyNumberFormat="1" applyFont="1" applyAlignment="1"/>
    <xf numFmtId="14" fontId="4" fillId="0" borderId="0" xfId="0" applyNumberFormat="1" applyFont="1" applyFill="1" applyAlignment="1"/>
    <xf numFmtId="3" fontId="0" fillId="0" borderId="0" xfId="0" applyNumberFormat="1" applyFill="1" applyAlignment="1">
      <alignment horizontal="centerContinuous" vertical="center"/>
    </xf>
    <xf numFmtId="0" fontId="4" fillId="2" borderId="0" xfId="0" applyFont="1" applyFill="1" applyAlignment="1">
      <alignment horizontal="center" vertical="center" wrapText="1"/>
    </xf>
    <xf numFmtId="3" fontId="0" fillId="0" borderId="0" xfId="0" applyNumberFormat="1" applyAlignment="1"/>
    <xf numFmtId="166" fontId="0" fillId="2" borderId="0" xfId="0" applyNumberFormat="1" applyFill="1" applyAlignment="1">
      <alignment horizontal="center" vertical="center" wrapText="1"/>
    </xf>
    <xf numFmtId="166" fontId="0" fillId="0" borderId="0" xfId="0" applyNumberFormat="1" applyFill="1" applyAlignment="1">
      <alignment horizontal="centerContinuous" vertical="center"/>
    </xf>
    <xf numFmtId="166" fontId="4" fillId="0" borderId="0" xfId="0" applyNumberFormat="1" applyFont="1" applyFill="1" applyAlignment="1"/>
    <xf numFmtId="166" fontId="0" fillId="0" borderId="0" xfId="0" applyNumberFormat="1"/>
    <xf numFmtId="0" fontId="0" fillId="0" borderId="1" xfId="0" applyBorder="1"/>
    <xf numFmtId="3" fontId="0" fillId="0" borderId="0" xfId="0" applyNumberFormat="1" applyBorder="1"/>
    <xf numFmtId="165" fontId="0" fillId="0" borderId="0" xfId="0" applyNumberFormat="1" applyBorder="1"/>
    <xf numFmtId="165" fontId="0" fillId="0" borderId="10" xfId="0" applyNumberFormat="1" applyBorder="1"/>
    <xf numFmtId="0" fontId="0" fillId="0" borderId="1" xfId="0" applyBorder="1" applyAlignment="1">
      <alignment horizontal="left" indent="2"/>
    </xf>
    <xf numFmtId="0" fontId="0" fillId="0" borderId="0" xfId="0" applyBorder="1"/>
    <xf numFmtId="0" fontId="0" fillId="0" borderId="10" xfId="0" applyBorder="1"/>
    <xf numFmtId="0" fontId="0" fillId="0" borderId="5" xfId="0" applyBorder="1" applyAlignment="1">
      <alignment horizontal="left" indent="2"/>
    </xf>
    <xf numFmtId="3" fontId="0" fillId="0" borderId="11" xfId="0" applyNumberFormat="1" applyBorder="1"/>
    <xf numFmtId="165" fontId="0" fillId="0" borderId="11" xfId="0" applyNumberFormat="1" applyBorder="1"/>
    <xf numFmtId="0" fontId="0" fillId="0" borderId="11" xfId="0" applyBorder="1"/>
    <xf numFmtId="165" fontId="0" fillId="0" borderId="12" xfId="0" applyNumberFormat="1" applyBorder="1"/>
    <xf numFmtId="0" fontId="0" fillId="11" borderId="1" xfId="0" applyFill="1" applyBorder="1" applyAlignment="1">
      <alignment horizontal="left" vertical="center"/>
    </xf>
    <xf numFmtId="0" fontId="0" fillId="11" borderId="0" xfId="0" applyFill="1" applyBorder="1" applyAlignment="1">
      <alignment horizontal="centerContinuous" vertical="center"/>
    </xf>
    <xf numFmtId="0" fontId="0" fillId="11" borderId="10" xfId="0" applyFill="1" applyBorder="1" applyAlignment="1">
      <alignment horizontal="centerContinuous" vertical="center"/>
    </xf>
    <xf numFmtId="0" fontId="0" fillId="12" borderId="1" xfId="0" applyFill="1" applyBorder="1"/>
    <xf numFmtId="0" fontId="0" fillId="12" borderId="0" xfId="0" applyFill="1" applyBorder="1" applyAlignment="1">
      <alignment horizontal="center" vertical="center"/>
    </xf>
    <xf numFmtId="0" fontId="0" fillId="12" borderId="10" xfId="0" applyFill="1" applyBorder="1" applyAlignment="1">
      <alignment horizontal="center" vertical="center"/>
    </xf>
    <xf numFmtId="0" fontId="0" fillId="10" borderId="7" xfId="0" applyFill="1" applyBorder="1"/>
    <xf numFmtId="0" fontId="0" fillId="10" borderId="8" xfId="0" applyFill="1" applyBorder="1" applyAlignment="1">
      <alignment horizontal="centerContinuous"/>
    </xf>
    <xf numFmtId="0" fontId="0" fillId="10" borderId="9" xfId="0" applyFill="1" applyBorder="1" applyAlignment="1">
      <alignment horizontal="centerContinuous"/>
    </xf>
    <xf numFmtId="165" fontId="10" fillId="13" borderId="0" xfId="0" applyNumberFormat="1" applyFont="1" applyFill="1" applyBorder="1"/>
    <xf numFmtId="0" fontId="0" fillId="0" borderId="5" xfId="0" applyBorder="1"/>
    <xf numFmtId="0" fontId="0" fillId="10" borderId="7" xfId="0" applyFill="1" applyBorder="1" applyAlignment="1">
      <alignment horizontal="centerContinuous"/>
    </xf>
    <xf numFmtId="0" fontId="0" fillId="0" borderId="1" xfId="0" applyFont="1" applyFill="1" applyBorder="1" applyAlignment="1">
      <alignment horizontal="left" indent="2"/>
    </xf>
    <xf numFmtId="1" fontId="0" fillId="0" borderId="0" xfId="0" applyNumberFormat="1" applyBorder="1"/>
    <xf numFmtId="0" fontId="0" fillId="0" borderId="5" xfId="0" applyFont="1" applyFill="1" applyBorder="1" applyAlignment="1">
      <alignment horizontal="left" indent="2"/>
    </xf>
    <xf numFmtId="1" fontId="0" fillId="0" borderId="11" xfId="0" applyNumberFormat="1" applyBorder="1"/>
    <xf numFmtId="3" fontId="4" fillId="0" borderId="0" xfId="0" applyNumberFormat="1" applyFont="1" applyFill="1" applyBorder="1" applyAlignment="1">
      <alignment vertical="center"/>
    </xf>
    <xf numFmtId="3" fontId="7" fillId="0" borderId="0" xfId="0" applyNumberFormat="1" applyFont="1" applyFill="1" applyAlignment="1"/>
    <xf numFmtId="0" fontId="0" fillId="0" borderId="0" xfId="0" applyFill="1"/>
    <xf numFmtId="0" fontId="0" fillId="0" borderId="0" xfId="0" applyFont="1" applyFill="1" applyBorder="1" applyAlignment="1">
      <alignment horizontal="left" indent="2"/>
    </xf>
    <xf numFmtId="0" fontId="0" fillId="0" borderId="11" xfId="0" applyFont="1" applyFill="1" applyBorder="1" applyAlignment="1">
      <alignment horizontal="left" indent="2"/>
    </xf>
    <xf numFmtId="1" fontId="0" fillId="0" borderId="0" xfId="0" applyNumberFormat="1" applyFill="1" applyBorder="1"/>
    <xf numFmtId="0" fontId="0" fillId="0" borderId="12" xfId="0" applyBorder="1"/>
    <xf numFmtId="0" fontId="0" fillId="12" borderId="10" xfId="0" applyFill="1" applyBorder="1" applyAlignment="1">
      <alignment horizontal="center" vertical="center" wrapText="1"/>
    </xf>
    <xf numFmtId="0" fontId="0" fillId="12" borderId="0" xfId="0" applyFill="1" applyBorder="1"/>
    <xf numFmtId="3" fontId="0" fillId="8" borderId="0" xfId="0" applyNumberFormat="1" applyFill="1" applyAlignment="1">
      <alignment vertical="center"/>
    </xf>
    <xf numFmtId="166" fontId="0" fillId="8" borderId="0" xfId="0" applyNumberFormat="1" applyFill="1" applyAlignment="1">
      <alignment vertical="center"/>
    </xf>
    <xf numFmtId="0" fontId="0" fillId="15" borderId="10" xfId="0" applyFill="1" applyBorder="1"/>
    <xf numFmtId="1" fontId="0" fillId="15" borderId="0" xfId="0" applyNumberFormat="1" applyFill="1" applyBorder="1"/>
    <xf numFmtId="0" fontId="0" fillId="12" borderId="0" xfId="0" applyFill="1" applyBorder="1" applyAlignment="1">
      <alignment horizontal="center" vertical="center" wrapText="1"/>
    </xf>
    <xf numFmtId="0" fontId="0" fillId="10" borderId="9" xfId="0" applyFill="1" applyBorder="1"/>
    <xf numFmtId="0" fontId="0" fillId="0" borderId="0" xfId="0" applyFill="1" applyBorder="1"/>
    <xf numFmtId="1" fontId="0" fillId="0" borderId="11" xfId="0" applyNumberFormat="1" applyFill="1" applyBorder="1"/>
    <xf numFmtId="0" fontId="0" fillId="0" borderId="0" xfId="0" applyFill="1" applyBorder="1" applyAlignment="1">
      <alignment horizontal="center" vertical="center"/>
    </xf>
    <xf numFmtId="3" fontId="0" fillId="0" borderId="0" xfId="0" applyNumberFormat="1" applyFill="1" applyBorder="1"/>
    <xf numFmtId="0" fontId="0" fillId="0" borderId="0" xfId="0" applyFill="1" applyBorder="1" applyAlignment="1">
      <alignment horizontal="centerContinuous"/>
    </xf>
    <xf numFmtId="3" fontId="0" fillId="0" borderId="10" xfId="0" applyNumberFormat="1" applyBorder="1"/>
    <xf numFmtId="0" fontId="0" fillId="16" borderId="0" xfId="0" applyFill="1" applyBorder="1" applyAlignment="1">
      <alignment horizontal="centerContinuous" vertical="center"/>
    </xf>
    <xf numFmtId="0" fontId="0" fillId="0" borderId="1" xfId="0" applyFill="1" applyBorder="1" applyAlignment="1">
      <alignment horizontal="centerContinuous"/>
    </xf>
    <xf numFmtId="0" fontId="0" fillId="0" borderId="1" xfId="0" applyFill="1" applyBorder="1" applyAlignment="1">
      <alignment horizontal="center" vertical="center"/>
    </xf>
    <xf numFmtId="0" fontId="0" fillId="0" borderId="1" xfId="0" applyFill="1" applyBorder="1"/>
    <xf numFmtId="0" fontId="0" fillId="2" borderId="8" xfId="0" applyFill="1" applyBorder="1" applyAlignment="1">
      <alignment horizontal="centerContinuous"/>
    </xf>
    <xf numFmtId="0" fontId="0" fillId="2" borderId="9" xfId="0" applyFill="1" applyBorder="1" applyAlignment="1">
      <alignment horizontal="centerContinuous"/>
    </xf>
    <xf numFmtId="165" fontId="0" fillId="0" borderId="0" xfId="0" applyNumberFormat="1"/>
    <xf numFmtId="165" fontId="0" fillId="6" borderId="0" xfId="0" applyNumberFormat="1" applyFill="1" applyBorder="1"/>
    <xf numFmtId="0" fontId="0" fillId="6" borderId="13" xfId="0" applyFill="1" applyBorder="1"/>
    <xf numFmtId="0" fontId="0" fillId="6" borderId="14" xfId="0" applyFill="1" applyBorder="1"/>
    <xf numFmtId="3" fontId="0" fillId="6" borderId="14" xfId="0" applyNumberFormat="1" applyFill="1" applyBorder="1"/>
    <xf numFmtId="0" fontId="0" fillId="6" borderId="15" xfId="0" applyFill="1" applyBorder="1"/>
    <xf numFmtId="0" fontId="0" fillId="6" borderId="16" xfId="0" applyFill="1" applyBorder="1"/>
    <xf numFmtId="0" fontId="0" fillId="6" borderId="0" xfId="0" applyFill="1" applyBorder="1"/>
    <xf numFmtId="3" fontId="0" fillId="6" borderId="0" xfId="0" applyNumberFormat="1" applyFill="1" applyBorder="1"/>
    <xf numFmtId="0" fontId="0" fillId="6" borderId="17" xfId="0" applyFill="1" applyBorder="1"/>
    <xf numFmtId="164" fontId="0" fillId="5" borderId="0" xfId="0" applyNumberFormat="1" applyFill="1" applyBorder="1" applyAlignment="1">
      <alignment horizontal="center" vertical="center" wrapText="1"/>
    </xf>
    <xf numFmtId="0" fontId="0" fillId="5" borderId="0" xfId="0" applyFill="1" applyBorder="1" applyAlignment="1">
      <alignment horizontal="center" vertical="center" wrapText="1"/>
    </xf>
    <xf numFmtId="3" fontId="0" fillId="5" borderId="0" xfId="0" applyNumberFormat="1" applyFill="1" applyBorder="1" applyAlignment="1">
      <alignment horizontal="center" vertical="center" wrapText="1"/>
    </xf>
    <xf numFmtId="165" fontId="0" fillId="5" borderId="18" xfId="0" applyNumberFormat="1" applyFill="1" applyBorder="1" applyAlignment="1">
      <alignment horizontal="center" vertical="center" wrapText="1"/>
    </xf>
    <xf numFmtId="1" fontId="0" fillId="17" borderId="0" xfId="0" applyNumberFormat="1" applyFill="1" applyBorder="1" applyAlignment="1">
      <alignment horizontal="center" vertical="center" wrapText="1"/>
    </xf>
    <xf numFmtId="1" fontId="0" fillId="17" borderId="19" xfId="0" applyNumberFormat="1" applyFill="1" applyBorder="1" applyAlignment="1">
      <alignment horizontal="center" vertical="center" wrapText="1"/>
    </xf>
    <xf numFmtId="1" fontId="0" fillId="6" borderId="17" xfId="0" applyNumberFormat="1" applyFill="1" applyBorder="1"/>
    <xf numFmtId="1" fontId="0" fillId="0" borderId="0" xfId="0" applyNumberFormat="1"/>
    <xf numFmtId="0" fontId="10" fillId="6" borderId="0" xfId="0" applyFont="1" applyFill="1" applyBorder="1" applyAlignment="1"/>
    <xf numFmtId="3" fontId="10" fillId="6" borderId="0" xfId="0" applyNumberFormat="1" applyFont="1" applyFill="1" applyBorder="1" applyAlignment="1"/>
    <xf numFmtId="165" fontId="6" fillId="3" borderId="20" xfId="0" applyNumberFormat="1" applyFont="1" applyFill="1" applyBorder="1" applyAlignment="1"/>
    <xf numFmtId="0" fontId="0" fillId="6" borderId="0" xfId="0" applyFont="1" applyFill="1" applyBorder="1" applyAlignment="1">
      <alignment horizontal="left"/>
    </xf>
    <xf numFmtId="3" fontId="0" fillId="6" borderId="0" xfId="0" applyNumberFormat="1" applyFill="1" applyBorder="1" applyAlignment="1">
      <alignment vertical="center"/>
    </xf>
    <xf numFmtId="0" fontId="8" fillId="6" borderId="0" xfId="0" applyFont="1" applyFill="1" applyBorder="1" applyAlignment="1"/>
    <xf numFmtId="0" fontId="5" fillId="6" borderId="0" xfId="0" applyFont="1" applyFill="1" applyBorder="1" applyAlignment="1">
      <alignment horizontal="left" vertical="center"/>
    </xf>
    <xf numFmtId="0" fontId="5" fillId="6" borderId="0" xfId="0" applyFont="1" applyFill="1" applyBorder="1" applyAlignment="1"/>
    <xf numFmtId="0" fontId="0" fillId="6" borderId="21" xfId="0" applyFill="1" applyBorder="1"/>
    <xf numFmtId="0" fontId="0" fillId="6" borderId="22" xfId="0" applyFill="1" applyBorder="1"/>
    <xf numFmtId="3" fontId="0" fillId="6" borderId="22" xfId="0" applyNumberFormat="1" applyFill="1" applyBorder="1"/>
    <xf numFmtId="165" fontId="0" fillId="6" borderId="22" xfId="0" applyNumberFormat="1" applyFill="1" applyBorder="1"/>
    <xf numFmtId="0" fontId="0" fillId="6" borderId="23" xfId="0" applyFill="1" applyBorder="1"/>
    <xf numFmtId="165" fontId="0" fillId="6" borderId="14" xfId="0" applyNumberFormat="1" applyFill="1" applyBorder="1"/>
    <xf numFmtId="0" fontId="0" fillId="5" borderId="0" xfId="0" applyFill="1" applyBorder="1"/>
    <xf numFmtId="0" fontId="0" fillId="5" borderId="0" xfId="0" applyFill="1" applyBorder="1" applyAlignment="1">
      <alignment horizontal="centerContinuous"/>
    </xf>
    <xf numFmtId="0" fontId="0" fillId="3" borderId="0" xfId="0" applyFill="1" applyBorder="1"/>
    <xf numFmtId="0" fontId="0" fillId="3" borderId="0" xfId="0" applyFill="1" applyBorder="1" applyAlignment="1">
      <alignment horizontal="center" vertical="center"/>
    </xf>
    <xf numFmtId="0" fontId="10" fillId="6" borderId="0" xfId="0" applyFont="1" applyFill="1" applyBorder="1" applyAlignment="1">
      <alignment horizontal="left" indent="1"/>
    </xf>
    <xf numFmtId="0" fontId="10" fillId="6" borderId="0" xfId="0" applyFont="1" applyFill="1" applyBorder="1"/>
    <xf numFmtId="165" fontId="10" fillId="6" borderId="0" xfId="0" applyNumberFormat="1" applyFont="1" applyFill="1" applyBorder="1"/>
    <xf numFmtId="9" fontId="10" fillId="6" borderId="0" xfId="0" applyNumberFormat="1" applyFont="1" applyFill="1" applyBorder="1" applyAlignment="1">
      <alignment horizontal="left" indent="3"/>
    </xf>
    <xf numFmtId="0" fontId="0" fillId="6" borderId="0" xfId="0" applyFill="1" applyBorder="1" applyAlignment="1">
      <alignment horizontal="left" indent="3"/>
    </xf>
    <xf numFmtId="0" fontId="10" fillId="0" borderId="0" xfId="0" applyFont="1" applyFill="1" applyBorder="1" applyAlignment="1">
      <alignment horizontal="left" indent="1"/>
    </xf>
    <xf numFmtId="0" fontId="10" fillId="0" borderId="0" xfId="0" applyFont="1" applyFill="1" applyBorder="1"/>
    <xf numFmtId="165" fontId="10" fillId="0" borderId="0" xfId="0" applyNumberFormat="1" applyFont="1" applyFill="1" applyBorder="1"/>
    <xf numFmtId="9" fontId="10" fillId="0" borderId="0" xfId="0" applyNumberFormat="1" applyFont="1" applyFill="1" applyBorder="1" applyAlignment="1">
      <alignment horizontal="left" indent="3"/>
    </xf>
    <xf numFmtId="0" fontId="0" fillId="0" borderId="0" xfId="0" applyFill="1" applyBorder="1" applyAlignment="1">
      <alignment horizontal="left" indent="3"/>
    </xf>
    <xf numFmtId="165" fontId="0" fillId="0" borderId="0" xfId="0" applyNumberFormat="1" applyFill="1" applyBorder="1"/>
    <xf numFmtId="0" fontId="0" fillId="6" borderId="0" xfId="0" applyFill="1" applyBorder="1" applyAlignment="1">
      <alignment horizontal="left" indent="2"/>
    </xf>
    <xf numFmtId="0" fontId="0" fillId="0" borderId="0" xfId="0" applyAlignment="1">
      <alignment horizontal="right"/>
    </xf>
    <xf numFmtId="0" fontId="0" fillId="0" borderId="0" xfId="0" applyAlignment="1">
      <alignment horizontal="left" vertical="top"/>
    </xf>
    <xf numFmtId="0" fontId="0" fillId="0" borderId="0" xfId="0" applyAlignment="1">
      <alignment vertical="top"/>
    </xf>
    <xf numFmtId="0" fontId="0" fillId="0" borderId="10" xfId="0" applyFill="1" applyBorder="1"/>
    <xf numFmtId="0" fontId="0" fillId="0" borderId="1" xfId="0" applyFont="1" applyFill="1" applyBorder="1" applyAlignment="1">
      <alignment horizontal="left"/>
    </xf>
    <xf numFmtId="0" fontId="0" fillId="0" borderId="5" xfId="0" applyFont="1" applyFill="1" applyBorder="1" applyAlignment="1">
      <alignment horizontal="left"/>
    </xf>
    <xf numFmtId="0" fontId="0" fillId="0" borderId="12" xfId="0" applyFill="1" applyBorder="1"/>
    <xf numFmtId="0" fontId="16" fillId="0" borderId="0" xfId="0" applyFont="1" applyAlignment="1">
      <alignment vertical="center"/>
    </xf>
    <xf numFmtId="0" fontId="17" fillId="0" borderId="0" xfId="0" applyFont="1" applyAlignment="1">
      <alignment vertical="center"/>
    </xf>
    <xf numFmtId="0" fontId="17" fillId="18" borderId="0" xfId="0" applyFont="1" applyFill="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0" fontId="0" fillId="15" borderId="0" xfId="0" applyFill="1" applyAlignment="1">
      <alignment horizontal="center" vertical="center" wrapText="1"/>
    </xf>
    <xf numFmtId="0" fontId="0" fillId="7" borderId="0" xfId="0" applyFill="1" applyAlignment="1">
      <alignment horizontal="center" vertical="center" wrapText="1"/>
    </xf>
    <xf numFmtId="0" fontId="0" fillId="19" borderId="0" xfId="0" applyFill="1" applyAlignment="1">
      <alignment horizontal="center" vertical="center" wrapText="1"/>
    </xf>
    <xf numFmtId="0" fontId="0" fillId="9" borderId="0" xfId="0" applyFill="1" applyAlignment="1">
      <alignment horizontal="center" vertical="center" wrapText="1"/>
    </xf>
    <xf numFmtId="0" fontId="0" fillId="4" borderId="0" xfId="0" applyFill="1" applyAlignment="1">
      <alignment horizontal="center" vertical="center" wrapText="1"/>
    </xf>
    <xf numFmtId="3" fontId="3" fillId="0" borderId="0" xfId="0" applyNumberFormat="1" applyFont="1" applyFill="1" applyAlignment="1">
      <alignment vertical="center"/>
    </xf>
    <xf numFmtId="3" fontId="4" fillId="14" borderId="0" xfId="0" applyNumberFormat="1" applyFont="1" applyFill="1" applyAlignment="1"/>
    <xf numFmtId="0" fontId="0" fillId="12" borderId="1" xfId="0" applyFill="1" applyBorder="1" applyAlignment="1">
      <alignment horizontal="center" vertical="center"/>
    </xf>
    <xf numFmtId="0" fontId="0" fillId="11" borderId="1" xfId="0" applyFill="1" applyBorder="1" applyAlignment="1">
      <alignment horizontal="centerContinuous" vertical="center"/>
    </xf>
    <xf numFmtId="3" fontId="0" fillId="0" borderId="1" xfId="0" applyNumberFormat="1" applyBorder="1"/>
    <xf numFmtId="0" fontId="0" fillId="10" borderId="8" xfId="0" applyFill="1" applyBorder="1" applyAlignment="1"/>
    <xf numFmtId="0" fontId="0" fillId="10" borderId="9" xfId="0" applyFill="1" applyBorder="1" applyAlignment="1"/>
    <xf numFmtId="0" fontId="0" fillId="16" borderId="10" xfId="0" applyFill="1" applyBorder="1" applyAlignment="1">
      <alignment horizontal="centerContinuous" vertical="center"/>
    </xf>
    <xf numFmtId="3" fontId="3" fillId="0" borderId="0" xfId="0" applyNumberFormat="1" applyFont="1" applyFill="1" applyAlignment="1"/>
    <xf numFmtId="0" fontId="0" fillId="0" borderId="24" xfId="0" applyFill="1" applyBorder="1"/>
    <xf numFmtId="0" fontId="21" fillId="0" borderId="0" xfId="0" applyFont="1"/>
    <xf numFmtId="0" fontId="21" fillId="6" borderId="0" xfId="0" applyFont="1" applyFill="1"/>
    <xf numFmtId="0" fontId="17" fillId="14" borderId="0" xfId="0" applyFont="1" applyFill="1" applyAlignment="1">
      <alignment vertical="center"/>
    </xf>
    <xf numFmtId="3" fontId="4" fillId="14" borderId="0" xfId="0" applyNumberFormat="1" applyFont="1" applyFill="1" applyAlignment="1">
      <alignment vertical="center"/>
    </xf>
    <xf numFmtId="0" fontId="0" fillId="0" borderId="6" xfId="0" applyFill="1" applyBorder="1"/>
    <xf numFmtId="3" fontId="0" fillId="0" borderId="0" xfId="0" applyNumberFormat="1" applyFill="1" applyAlignment="1">
      <alignment horizontal="right" vertical="top"/>
    </xf>
    <xf numFmtId="0" fontId="0" fillId="2" borderId="8" xfId="0" applyFill="1" applyBorder="1" applyAlignment="1">
      <alignment horizontal="left" indent="13"/>
    </xf>
    <xf numFmtId="165" fontId="21" fillId="0" borderId="0" xfId="0" applyNumberFormat="1" applyFont="1" applyBorder="1"/>
    <xf numFmtId="3" fontId="21" fillId="0" borderId="0" xfId="0" applyNumberFormat="1" applyFont="1" applyBorder="1"/>
    <xf numFmtId="165" fontId="21" fillId="0" borderId="10" xfId="0" applyNumberFormat="1" applyFont="1" applyBorder="1"/>
    <xf numFmtId="0" fontId="0" fillId="20" borderId="0" xfId="0" applyFill="1" applyAlignment="1">
      <alignment horizontal="center" vertical="center" wrapText="1"/>
    </xf>
    <xf numFmtId="0" fontId="16" fillId="4" borderId="0" xfId="0" applyFont="1" applyFill="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0" fillId="2" borderId="8" xfId="0" applyFill="1" applyBorder="1" applyAlignment="1">
      <alignment horizontal="left" indent="4"/>
    </xf>
    <xf numFmtId="0" fontId="16" fillId="0" borderId="0" xfId="0" applyFont="1" applyFill="1" applyAlignment="1">
      <alignment vertical="center"/>
    </xf>
    <xf numFmtId="0" fontId="0" fillId="10" borderId="7" xfId="0" applyFill="1" applyBorder="1" applyAlignment="1">
      <alignment horizontal="left" indent="17"/>
    </xf>
    <xf numFmtId="0" fontId="0" fillId="10" borderId="7" xfId="0" applyFill="1" applyBorder="1" applyAlignment="1">
      <alignment horizontal="left" indent="20"/>
    </xf>
    <xf numFmtId="4" fontId="4" fillId="0" borderId="0" xfId="0" applyNumberFormat="1" applyFont="1" applyFill="1" applyAlignment="1"/>
    <xf numFmtId="4" fontId="4" fillId="0" borderId="0" xfId="0" applyNumberFormat="1" applyFont="1" applyFill="1" applyBorder="1" applyAlignment="1"/>
    <xf numFmtId="167" fontId="0" fillId="0" borderId="0" xfId="0" applyNumberFormat="1" applyAlignment="1"/>
    <xf numFmtId="168" fontId="0" fillId="0" borderId="0" xfId="0" applyNumberFormat="1" applyBorder="1"/>
    <xf numFmtId="168" fontId="0" fillId="0" borderId="11" xfId="0" applyNumberFormat="1" applyBorder="1"/>
    <xf numFmtId="167" fontId="0" fillId="0" borderId="0" xfId="0" applyNumberFormat="1" applyBorder="1"/>
    <xf numFmtId="167" fontId="0" fillId="0" borderId="11" xfId="0" applyNumberFormat="1" applyBorder="1"/>
    <xf numFmtId="0" fontId="0" fillId="10" borderId="7" xfId="0" applyFill="1" applyBorder="1" applyAlignment="1">
      <alignment horizontal="left" indent="13"/>
    </xf>
    <xf numFmtId="4" fontId="4" fillId="0" borderId="0" xfId="0" applyNumberFormat="1" applyFont="1" applyFill="1" applyAlignment="1">
      <alignment vertical="center"/>
    </xf>
    <xf numFmtId="4" fontId="4" fillId="0" borderId="0" xfId="0" applyNumberFormat="1" applyFont="1" applyFill="1" applyBorder="1" applyAlignment="1">
      <alignment vertical="center"/>
    </xf>
    <xf numFmtId="3" fontId="2" fillId="6" borderId="0" xfId="0" applyNumberFormat="1" applyFont="1" applyFill="1" applyBorder="1"/>
    <xf numFmtId="165" fontId="2" fillId="6" borderId="0" xfId="0" applyNumberFormat="1" applyFont="1" applyFill="1" applyBorder="1"/>
    <xf numFmtId="0" fontId="2" fillId="6" borderId="0" xfId="0" applyFont="1" applyFill="1" applyBorder="1"/>
    <xf numFmtId="9" fontId="0" fillId="0" borderId="0" xfId="4" applyFont="1"/>
    <xf numFmtId="0" fontId="7" fillId="2" borderId="0" xfId="0" applyFont="1" applyFill="1" applyAlignment="1">
      <alignment horizontal="center" vertical="center" wrapText="1"/>
    </xf>
    <xf numFmtId="3" fontId="24" fillId="6" borderId="0" xfId="0" applyNumberFormat="1" applyFont="1" applyFill="1" applyBorder="1" applyAlignment="1">
      <alignment vertical="center"/>
    </xf>
    <xf numFmtId="3" fontId="1" fillId="0" borderId="0" xfId="0" applyNumberFormat="1" applyFont="1" applyFill="1" applyBorder="1" applyAlignment="1">
      <alignment vertical="center"/>
    </xf>
    <xf numFmtId="3" fontId="1" fillId="0" borderId="0" xfId="0" applyNumberFormat="1" applyFont="1" applyFill="1" applyAlignment="1"/>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5" fillId="6" borderId="0" xfId="0" applyFont="1" applyFill="1" applyBorder="1" applyAlignment="1">
      <alignment horizontal="center" vertical="top"/>
    </xf>
    <xf numFmtId="3" fontId="0" fillId="6" borderId="0" xfId="0" applyNumberFormat="1" applyFill="1" applyBorder="1" applyAlignment="1">
      <alignment horizontal="center"/>
    </xf>
  </cellXfs>
  <cellStyles count="8">
    <cellStyle name="40% - Accent5 2" xfId="5"/>
    <cellStyle name="Excel Built-in 40% - Accent5" xfId="7"/>
    <cellStyle name="Excel Built-in Normal" xfId="6"/>
    <cellStyle name="Normal" xfId="0" builtinId="0"/>
    <cellStyle name="Normal 2" xfId="1"/>
    <cellStyle name="Normal 3"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19"/>
  <sheetViews>
    <sheetView zoomScale="80" zoomScaleNormal="80" workbookViewId="0">
      <selection activeCell="I100" sqref="I100"/>
    </sheetView>
  </sheetViews>
  <sheetFormatPr defaultRowHeight="15" x14ac:dyDescent="0.25"/>
  <cols>
    <col min="1" max="1" width="2.85546875" customWidth="1"/>
    <col min="2" max="2" width="30.7109375" bestFit="1" customWidth="1"/>
    <col min="3" max="15" width="14.140625" customWidth="1"/>
    <col min="16" max="16" width="27" customWidth="1"/>
    <col min="17" max="17" width="14.140625" customWidth="1"/>
    <col min="18" max="18" width="14.28515625" customWidth="1"/>
    <col min="19" max="19" width="14.42578125" customWidth="1"/>
    <col min="21" max="21" width="14" customWidth="1"/>
    <col min="22" max="22" width="16.28515625" customWidth="1"/>
    <col min="23" max="23" width="12.28515625" customWidth="1"/>
    <col min="24" max="24" width="12" customWidth="1"/>
  </cols>
  <sheetData>
    <row r="2" spans="2:24" x14ac:dyDescent="0.25">
      <c r="B2" s="49"/>
      <c r="C2" s="50" t="s">
        <v>37</v>
      </c>
      <c r="D2" s="50"/>
      <c r="E2" s="50" t="s">
        <v>212</v>
      </c>
      <c r="F2" s="50"/>
      <c r="G2" s="50" t="s">
        <v>211</v>
      </c>
      <c r="H2" s="51"/>
      <c r="J2" s="54" t="s">
        <v>411</v>
      </c>
      <c r="K2" s="50"/>
      <c r="L2" s="50" t="s">
        <v>412</v>
      </c>
      <c r="M2" s="51"/>
    </row>
    <row r="3" spans="2:24" x14ac:dyDescent="0.25">
      <c r="B3" s="46"/>
      <c r="C3" s="47" t="s">
        <v>223</v>
      </c>
      <c r="D3" s="47" t="s">
        <v>224</v>
      </c>
      <c r="E3" s="47" t="s">
        <v>223</v>
      </c>
      <c r="F3" s="47" t="s">
        <v>224</v>
      </c>
      <c r="G3" s="47" t="s">
        <v>223</v>
      </c>
      <c r="H3" s="48" t="s">
        <v>224</v>
      </c>
      <c r="J3" s="153" t="s">
        <v>223</v>
      </c>
      <c r="K3" s="47" t="s">
        <v>224</v>
      </c>
      <c r="L3" s="47" t="s">
        <v>223</v>
      </c>
      <c r="M3" s="48" t="s">
        <v>224</v>
      </c>
      <c r="N3" s="76"/>
    </row>
    <row r="4" spans="2:24" s="5" customFormat="1" x14ac:dyDescent="0.25">
      <c r="B4" s="43"/>
      <c r="C4" s="44" t="s">
        <v>230</v>
      </c>
      <c r="D4" s="44"/>
      <c r="E4" s="44"/>
      <c r="F4" s="44"/>
      <c r="G4" s="44"/>
      <c r="H4" s="45"/>
      <c r="J4" s="154" t="s">
        <v>230</v>
      </c>
      <c r="K4" s="44"/>
      <c r="L4" s="44"/>
      <c r="M4" s="45"/>
      <c r="N4" s="77"/>
      <c r="O4"/>
      <c r="P4"/>
      <c r="Q4"/>
    </row>
    <row r="5" spans="2:24" x14ac:dyDescent="0.25">
      <c r="B5" s="31" t="s">
        <v>225</v>
      </c>
      <c r="C5" s="32">
        <f>База!G2</f>
        <v>33398978</v>
      </c>
      <c r="D5" s="33">
        <f>C5/C$5*100</f>
        <v>100</v>
      </c>
      <c r="E5" s="32">
        <f>База!V2</f>
        <v>22605950</v>
      </c>
      <c r="F5" s="33">
        <f>E5/E$5*100</f>
        <v>100</v>
      </c>
      <c r="G5" s="32">
        <f>База!S2</f>
        <v>10793028</v>
      </c>
      <c r="H5" s="34">
        <f>G5/G$5*100</f>
        <v>100</v>
      </c>
      <c r="J5" s="155">
        <f>База!AE2</f>
        <v>31254192</v>
      </c>
      <c r="K5" s="33">
        <f>J5/J$5*100</f>
        <v>100</v>
      </c>
      <c r="L5" s="32">
        <f>База!Y2</f>
        <v>2144786</v>
      </c>
      <c r="M5" s="34">
        <f>L5/L$5*100</f>
        <v>100</v>
      </c>
      <c r="N5" s="77"/>
    </row>
    <row r="6" spans="2:24" x14ac:dyDescent="0.25">
      <c r="B6" s="31" t="s">
        <v>226</v>
      </c>
      <c r="C6" s="32">
        <f>База!H2</f>
        <v>32842479</v>
      </c>
      <c r="D6" s="33">
        <f>C6/C$5*100</f>
        <v>98.333784345137744</v>
      </c>
      <c r="E6" s="32">
        <f>База!W2</f>
        <v>22174912</v>
      </c>
      <c r="F6" s="33">
        <f>E6/E$5*100</f>
        <v>98.093254209621804</v>
      </c>
      <c r="G6" s="32">
        <f>База!T2</f>
        <v>10667567</v>
      </c>
      <c r="H6" s="34">
        <f>G6/G$5*100</f>
        <v>98.837573663294492</v>
      </c>
      <c r="J6" s="155">
        <f>База!AF2</f>
        <v>30710030</v>
      </c>
      <c r="K6" s="33">
        <f>J6/J$5*100</f>
        <v>98.258915156085308</v>
      </c>
      <c r="L6" s="32">
        <f>База!Z2</f>
        <v>2132449</v>
      </c>
      <c r="M6" s="34">
        <f>L6/L$5*100</f>
        <v>99.42479109803962</v>
      </c>
      <c r="N6" s="77"/>
    </row>
    <row r="7" spans="2:24" ht="14.25" customHeight="1" x14ac:dyDescent="0.25">
      <c r="B7" s="35" t="s">
        <v>227</v>
      </c>
      <c r="C7" s="32">
        <f>База!J2</f>
        <v>28445349</v>
      </c>
      <c r="D7" s="33">
        <f>C7/C$5*100</f>
        <v>85.168321617505782</v>
      </c>
      <c r="E7" s="36"/>
      <c r="F7" s="36"/>
      <c r="G7" s="36"/>
      <c r="H7" s="34"/>
      <c r="J7" s="31"/>
      <c r="K7" s="36"/>
      <c r="L7" s="36"/>
      <c r="M7" s="34"/>
      <c r="N7" s="74"/>
    </row>
    <row r="8" spans="2:24" ht="7.5" customHeight="1" x14ac:dyDescent="0.25">
      <c r="B8" s="31"/>
      <c r="C8" s="36"/>
      <c r="D8" s="36"/>
      <c r="E8" s="36"/>
      <c r="F8" s="36"/>
      <c r="G8" s="36"/>
      <c r="H8" s="37"/>
      <c r="J8" s="31"/>
      <c r="K8" s="36"/>
      <c r="L8" s="36"/>
      <c r="M8" s="37"/>
      <c r="N8" s="74"/>
    </row>
    <row r="9" spans="2:24" x14ac:dyDescent="0.25">
      <c r="B9" s="43"/>
      <c r="C9" s="44" t="s">
        <v>231</v>
      </c>
      <c r="D9" s="44"/>
      <c r="E9" s="44"/>
      <c r="F9" s="44"/>
      <c r="G9" s="44"/>
      <c r="H9" s="45"/>
      <c r="J9" s="154" t="s">
        <v>231</v>
      </c>
      <c r="K9" s="44"/>
      <c r="L9" s="44"/>
      <c r="M9" s="45"/>
      <c r="N9" s="74"/>
    </row>
    <row r="10" spans="2:24" x14ac:dyDescent="0.25">
      <c r="B10" s="31" t="s">
        <v>225</v>
      </c>
      <c r="C10" s="32">
        <f>База!G3</f>
        <v>29611154</v>
      </c>
      <c r="D10" s="33">
        <f>C10/C$10*100</f>
        <v>100</v>
      </c>
      <c r="E10" s="32">
        <f>База!V3</f>
        <v>19250716</v>
      </c>
      <c r="F10" s="33">
        <f>E10/E$10*100</f>
        <v>100</v>
      </c>
      <c r="G10" s="32">
        <f>База!S3</f>
        <v>10360438</v>
      </c>
      <c r="H10" s="34">
        <f>G10/G$10*100</f>
        <v>100</v>
      </c>
      <c r="J10" s="155">
        <f>База!AE3</f>
        <v>27488051</v>
      </c>
      <c r="K10" s="33">
        <f>J10/J$10*100</f>
        <v>100</v>
      </c>
      <c r="L10" s="32">
        <f>База!Y3</f>
        <v>2123103</v>
      </c>
      <c r="M10" s="34">
        <f>L10/L$10*100</f>
        <v>100</v>
      </c>
      <c r="N10" s="74"/>
    </row>
    <row r="11" spans="2:24" x14ac:dyDescent="0.25">
      <c r="B11" s="31" t="s">
        <v>226</v>
      </c>
      <c r="C11" s="32">
        <f>База!H3</f>
        <v>29475329</v>
      </c>
      <c r="D11" s="52">
        <f>C11/C$10*100</f>
        <v>99.541304604339302</v>
      </c>
      <c r="E11" s="32">
        <f>База!W3</f>
        <v>19208348</v>
      </c>
      <c r="F11" s="52">
        <f>E11/E$10*100</f>
        <v>99.779914679537114</v>
      </c>
      <c r="G11" s="32">
        <f ca="1">База!T3</f>
        <v>10266981</v>
      </c>
      <c r="H11" s="34">
        <f ca="1">G11/G$10*100</f>
        <v>99.097943542541344</v>
      </c>
      <c r="J11" s="155">
        <f ca="1">База!AF3</f>
        <v>27364563</v>
      </c>
      <c r="K11" s="52">
        <f ca="1">J11/J$10*100</f>
        <v>99.550757527334326</v>
      </c>
      <c r="L11" s="32">
        <f ca="1">База!Z3</f>
        <v>2110766</v>
      </c>
      <c r="M11" s="34">
        <f ca="1">L11/L$10*100</f>
        <v>99.4189165575104</v>
      </c>
      <c r="N11" s="74"/>
    </row>
    <row r="12" spans="2:24" x14ac:dyDescent="0.25">
      <c r="B12" s="38" t="s">
        <v>227</v>
      </c>
      <c r="C12" s="39">
        <f>База!J3</f>
        <v>26390659</v>
      </c>
      <c r="D12" s="40">
        <f t="shared" ref="D12" si="0">C12/C$10*100</f>
        <v>89.124047647720857</v>
      </c>
      <c r="E12" s="41"/>
      <c r="F12" s="41"/>
      <c r="G12" s="41"/>
      <c r="H12" s="42"/>
      <c r="J12" s="53"/>
      <c r="K12" s="41"/>
      <c r="L12" s="41"/>
      <c r="M12" s="42"/>
      <c r="N12" s="74"/>
    </row>
    <row r="13" spans="2:24" x14ac:dyDescent="0.25">
      <c r="O13" s="61"/>
    </row>
    <row r="14" spans="2:24" x14ac:dyDescent="0.25">
      <c r="B14" s="49"/>
      <c r="C14" s="84" t="s">
        <v>37</v>
      </c>
      <c r="D14" s="84"/>
      <c r="E14" s="84"/>
      <c r="F14" s="84"/>
      <c r="G14" s="50" t="s">
        <v>212</v>
      </c>
      <c r="H14" s="50"/>
      <c r="I14" s="50"/>
      <c r="J14" s="50"/>
      <c r="K14" s="167" t="s">
        <v>411</v>
      </c>
      <c r="L14" s="84"/>
      <c r="M14" s="84"/>
      <c r="N14" s="85"/>
      <c r="O14" s="78"/>
      <c r="P14" s="49"/>
      <c r="Q14" s="175" t="s">
        <v>435</v>
      </c>
      <c r="R14" s="84"/>
      <c r="S14" s="84"/>
      <c r="T14" s="84"/>
      <c r="U14" s="50" t="s">
        <v>438</v>
      </c>
      <c r="V14" s="50"/>
      <c r="W14" s="50"/>
      <c r="X14" s="51"/>
    </row>
    <row r="15" spans="2:24" x14ac:dyDescent="0.25">
      <c r="B15" s="46"/>
      <c r="C15" s="47" t="s">
        <v>213</v>
      </c>
      <c r="D15" s="47" t="s">
        <v>229</v>
      </c>
      <c r="E15" s="80" t="s">
        <v>255</v>
      </c>
      <c r="F15" s="80"/>
      <c r="G15" s="47" t="s">
        <v>213</v>
      </c>
      <c r="H15" s="47" t="s">
        <v>229</v>
      </c>
      <c r="I15" s="80" t="s">
        <v>255</v>
      </c>
      <c r="J15" s="80"/>
      <c r="K15" s="47" t="s">
        <v>213</v>
      </c>
      <c r="L15" s="47" t="s">
        <v>229</v>
      </c>
      <c r="M15" s="80" t="s">
        <v>255</v>
      </c>
      <c r="N15" s="158"/>
      <c r="O15" s="61"/>
      <c r="P15" s="46"/>
      <c r="Q15" s="47" t="s">
        <v>213</v>
      </c>
      <c r="R15" s="47" t="s">
        <v>229</v>
      </c>
      <c r="S15" s="80" t="s">
        <v>255</v>
      </c>
      <c r="T15" s="80"/>
      <c r="U15" s="47" t="s">
        <v>213</v>
      </c>
      <c r="V15" s="47" t="s">
        <v>229</v>
      </c>
      <c r="W15" s="80" t="s">
        <v>255</v>
      </c>
      <c r="X15" s="158"/>
    </row>
    <row r="16" spans="2:24" x14ac:dyDescent="0.25">
      <c r="B16" s="31" t="s">
        <v>215</v>
      </c>
      <c r="C16" s="36">
        <f>База!E2</f>
        <v>174</v>
      </c>
      <c r="D16" s="33">
        <f t="shared" ref="D16:D23" si="1">C16/$C$16*100</f>
        <v>100</v>
      </c>
      <c r="E16" s="36">
        <v>145</v>
      </c>
      <c r="F16" s="33">
        <v>100</v>
      </c>
      <c r="G16" s="36">
        <f>База!E2</f>
        <v>174</v>
      </c>
      <c r="H16" s="33">
        <f t="shared" ref="H16:H23" si="2">G16/$G$16*100</f>
        <v>100</v>
      </c>
      <c r="I16" s="36">
        <f ca="1">База!E3</f>
        <v>145</v>
      </c>
      <c r="J16" s="33">
        <v>100</v>
      </c>
      <c r="K16" s="36">
        <v>174</v>
      </c>
      <c r="L16" s="33">
        <f>K16/$K$16*100</f>
        <v>100</v>
      </c>
      <c r="M16" s="36">
        <v>145</v>
      </c>
      <c r="N16" s="37">
        <v>100</v>
      </c>
      <c r="O16" s="61"/>
      <c r="P16" s="83" t="s">
        <v>439</v>
      </c>
      <c r="Q16" s="32">
        <f>База!E2</f>
        <v>174</v>
      </c>
      <c r="R16" s="33">
        <f>Q16/Q16*100</f>
        <v>100</v>
      </c>
      <c r="S16" s="32">
        <f ca="1">База!E3</f>
        <v>145</v>
      </c>
      <c r="T16" s="32">
        <f ca="1">S16/S16*100</f>
        <v>100</v>
      </c>
      <c r="U16" s="32">
        <f>База!E2</f>
        <v>174</v>
      </c>
      <c r="V16" s="32">
        <f>U16/U16*100</f>
        <v>100</v>
      </c>
      <c r="W16" s="32">
        <f ca="1">База!E3</f>
        <v>145</v>
      </c>
      <c r="X16" s="79">
        <f ca="1">W16/W16*100</f>
        <v>100</v>
      </c>
    </row>
    <row r="17" spans="2:24" x14ac:dyDescent="0.25">
      <c r="B17" s="31" t="s">
        <v>217</v>
      </c>
      <c r="C17" s="32">
        <f>База!D2</f>
        <v>174</v>
      </c>
      <c r="D17" s="33">
        <f t="shared" si="1"/>
        <v>100</v>
      </c>
      <c r="E17" s="32">
        <v>145</v>
      </c>
      <c r="F17" s="33">
        <v>100</v>
      </c>
      <c r="G17" s="32">
        <f>База!D2</f>
        <v>174</v>
      </c>
      <c r="H17" s="33">
        <f t="shared" si="2"/>
        <v>100</v>
      </c>
      <c r="I17" s="32">
        <f ca="1">База!D3</f>
        <v>145</v>
      </c>
      <c r="J17" s="33">
        <v>100</v>
      </c>
      <c r="K17" s="32">
        <v>174</v>
      </c>
      <c r="L17" s="33">
        <f t="shared" ref="L17:L23" si="3">K17/$K$16*100</f>
        <v>100</v>
      </c>
      <c r="M17" s="32">
        <v>145</v>
      </c>
      <c r="N17" s="79">
        <v>100</v>
      </c>
      <c r="O17" s="61"/>
      <c r="P17" s="31" t="s">
        <v>215</v>
      </c>
      <c r="Q17" s="169">
        <f>База!L2</f>
        <v>174</v>
      </c>
      <c r="R17" s="168">
        <f>Q17/174*100</f>
        <v>100</v>
      </c>
      <c r="S17" s="169">
        <f>База!L3</f>
        <v>145</v>
      </c>
      <c r="T17" s="168">
        <f>S17/145*100</f>
        <v>100</v>
      </c>
      <c r="U17" s="169">
        <f>U16-Q17</f>
        <v>0</v>
      </c>
      <c r="V17" s="168">
        <f>$U$17/$U$16*100</f>
        <v>0</v>
      </c>
      <c r="W17" s="169">
        <f ca="1">W16-S17</f>
        <v>0</v>
      </c>
      <c r="X17" s="170">
        <f ca="1">$W$17/$W$16*100</f>
        <v>0</v>
      </c>
    </row>
    <row r="18" spans="2:24" x14ac:dyDescent="0.25">
      <c r="B18" s="31" t="s">
        <v>216</v>
      </c>
      <c r="C18" s="36">
        <f>COUNTIF(База!$O$4:$O$177, "&gt;=100")</f>
        <v>165</v>
      </c>
      <c r="D18" s="33">
        <f t="shared" si="1"/>
        <v>94.827586206896555</v>
      </c>
      <c r="E18" s="36">
        <f>COUNTIFS(База!$O$4:$O$177, "&gt;=100",База!$C$4:$C$177,"=0")</f>
        <v>141</v>
      </c>
      <c r="F18" s="33">
        <f>E18/$E$16*100</f>
        <v>97.241379310344826</v>
      </c>
      <c r="G18" s="36">
        <f>COUNTIF(База!$X$4:$X$177, "&gt;=100")</f>
        <v>168</v>
      </c>
      <c r="H18" s="33">
        <f>G18/$G$16*100</f>
        <v>96.551724137931032</v>
      </c>
      <c r="I18" s="36">
        <f>COUNTIFS(База!$X$4:$X$177, "&gt;=100",База!$C$4:$C$177,"=0")</f>
        <v>144</v>
      </c>
      <c r="J18" s="33">
        <f ca="1">I18/$I$16*100</f>
        <v>99.310344827586206</v>
      </c>
      <c r="K18" s="36">
        <f>COUNTIFS(База!$AG$4:$AG$177,"&gt;=100")</f>
        <v>165</v>
      </c>
      <c r="L18" s="33">
        <f t="shared" si="3"/>
        <v>94.827586206896555</v>
      </c>
      <c r="M18" s="36">
        <f>COUNTIFS(База!$AG$4:$AG$177, "&gt;=100",База!$C$4:$C$177,"=0")</f>
        <v>141</v>
      </c>
      <c r="N18" s="34">
        <f>M18/$M$16*100</f>
        <v>97.241379310344826</v>
      </c>
      <c r="O18" s="61"/>
      <c r="P18" s="31" t="s">
        <v>216</v>
      </c>
      <c r="Q18" s="36">
        <f>COUNTIFS(База!$L$4:$L$177,База!$L$4,База!$O$4:$O$177,"&gt;=100")</f>
        <v>165</v>
      </c>
      <c r="R18" s="33">
        <f>Q18/$Q$17*100</f>
        <v>94.827586206896555</v>
      </c>
      <c r="S18" s="36">
        <f>COUNTIFS(База!$C$4:$C$177,База!$C$4,База!$L$4:$L$177,База!$L$4,База!$O$4:$O$177,"&gt;=100")</f>
        <v>141</v>
      </c>
      <c r="T18" s="33">
        <f>S18/$S$17*100</f>
        <v>97.241379310344826</v>
      </c>
      <c r="U18" s="36">
        <f>C18-Q18</f>
        <v>0</v>
      </c>
      <c r="V18" s="33">
        <f>U18*100</f>
        <v>0</v>
      </c>
      <c r="W18" s="36">
        <f>E18-S18</f>
        <v>0</v>
      </c>
      <c r="X18" s="34">
        <f>W18*100</f>
        <v>0</v>
      </c>
    </row>
    <row r="19" spans="2:24" x14ac:dyDescent="0.25">
      <c r="B19" s="31" t="s">
        <v>218</v>
      </c>
      <c r="C19" s="32">
        <f>COUNTIF(База!$O$4:$O$177, "&gt;=90")-C18</f>
        <v>5</v>
      </c>
      <c r="D19" s="33">
        <f t="shared" si="1"/>
        <v>2.8735632183908044</v>
      </c>
      <c r="E19" s="32">
        <f>COUNTIFS(База!$O$4:$O$177, "&gt;=90",База!$C$4:$C$177,"=0")-E18</f>
        <v>4</v>
      </c>
      <c r="F19" s="33">
        <f t="shared" ref="F19:F23" si="4">E19/$E$16*100</f>
        <v>2.7586206896551726</v>
      </c>
      <c r="G19" s="32">
        <f>COUNTIF(База!$X$4:$X$177, "&gt;=90")-G18</f>
        <v>2</v>
      </c>
      <c r="H19" s="33">
        <f>G19/$G$16*100</f>
        <v>1.1494252873563218</v>
      </c>
      <c r="I19" s="32">
        <f>COUNTIFS(База!$X$4:$X$177, "&gt;=90",База!$C$4:$C$177,"=0")-I18</f>
        <v>1</v>
      </c>
      <c r="J19" s="33">
        <f ca="1">I19/$I$16*100</f>
        <v>0.68965517241379315</v>
      </c>
      <c r="K19" s="32">
        <f>COUNTIF(База!$AG$4:$AG$177, "&gt;=90")-K18</f>
        <v>5</v>
      </c>
      <c r="L19" s="33">
        <f t="shared" si="3"/>
        <v>2.8735632183908044</v>
      </c>
      <c r="M19" s="32">
        <f>COUNTIFS(База!$AG$4:$AG$177, "&gt;=90",База!$C$4:$C$177,"=0")-M18</f>
        <v>4</v>
      </c>
      <c r="N19" s="34">
        <f t="shared" ref="N19:N23" si="5">M19/$M$16*100</f>
        <v>2.7586206896551726</v>
      </c>
      <c r="O19" s="61"/>
      <c r="P19" s="31" t="s">
        <v>218</v>
      </c>
      <c r="Q19" s="32">
        <f>COUNTIFS(База!$L$4:$L$177,База!$L$4,База!$O$4:$O$177,"&gt;=90")-Q18</f>
        <v>5</v>
      </c>
      <c r="R19" s="33">
        <f t="shared" ref="R19:R23" si="6">Q19/$Q$17*100</f>
        <v>2.8735632183908044</v>
      </c>
      <c r="S19" s="36">
        <f>COUNTIFS(База!$C$4:$C$177,База!$C$4,База!$L$4:$L$177,База!$L$4,База!$O$4:$O$177,"&gt;=90")-S18</f>
        <v>4</v>
      </c>
      <c r="T19" s="33">
        <f t="shared" ref="T19:T23" si="7">S19/$S$17*100</f>
        <v>2.7586206896551726</v>
      </c>
      <c r="U19" s="36">
        <f t="shared" ref="U19:U23" si="8">C19-Q19</f>
        <v>0</v>
      </c>
      <c r="V19" s="33">
        <f t="shared" ref="V19:V23" si="9">U19*100</f>
        <v>0</v>
      </c>
      <c r="W19" s="36">
        <f t="shared" ref="W19:W23" si="10">E19-S19</f>
        <v>0</v>
      </c>
      <c r="X19" s="34">
        <f t="shared" ref="X19:X23" si="11">W19*100</f>
        <v>0</v>
      </c>
    </row>
    <row r="20" spans="2:24" x14ac:dyDescent="0.25">
      <c r="B20" s="31" t="s">
        <v>219</v>
      </c>
      <c r="C20" s="32">
        <f>COUNTIF(База!$O$4:$O$177, "&gt;=80")-C19-C18</f>
        <v>0</v>
      </c>
      <c r="D20" s="33">
        <f t="shared" si="1"/>
        <v>0</v>
      </c>
      <c r="E20" s="32">
        <f>COUNTIFS(База!$O$4:$O$177, "&gt;=80",База!$C$4:$C$177,"=0")-E18-E19</f>
        <v>0</v>
      </c>
      <c r="F20" s="33">
        <f t="shared" si="4"/>
        <v>0</v>
      </c>
      <c r="G20" s="32">
        <f>COUNTIF(База!$X$4:$X$177, "&gt;=80")-G19-G18</f>
        <v>0</v>
      </c>
      <c r="H20" s="33">
        <f t="shared" si="2"/>
        <v>0</v>
      </c>
      <c r="I20" s="32">
        <f>COUNTIFS(База!$X$4:$X$177, "&gt;=80",База!$C$4:$C$177,"=0")-I19-I18</f>
        <v>0</v>
      </c>
      <c r="J20" s="33">
        <f t="shared" ref="J20:J23" ca="1" si="12">I20/$I$16*100</f>
        <v>0</v>
      </c>
      <c r="K20" s="32">
        <f>COUNTIF(База!$AG$4:$AG$177, "&gt;=80")-K19-K18</f>
        <v>0</v>
      </c>
      <c r="L20" s="33">
        <f t="shared" si="3"/>
        <v>0</v>
      </c>
      <c r="M20" s="32">
        <f>COUNTIFS(База!$AG$4:$AG$177, "&gt;=80",База!$C$4:$C$177,"=0")-M18-M19</f>
        <v>0</v>
      </c>
      <c r="N20" s="34">
        <f t="shared" si="5"/>
        <v>0</v>
      </c>
      <c r="O20" s="61"/>
      <c r="P20" s="31" t="s">
        <v>219</v>
      </c>
      <c r="Q20" s="32">
        <f>COUNTIFS(База!$L$4:$L$177,База!$L$4,База!$O$4:$O$177,"&gt;=80")-Q19-Q18</f>
        <v>0</v>
      </c>
      <c r="R20" s="33">
        <f t="shared" si="6"/>
        <v>0</v>
      </c>
      <c r="S20" s="36">
        <f>COUNTIFS(База!$C$4:$C$177,База!$C$4,База!$L$4:$L$177,База!$L$4,База!$O$4:$O$177,"&gt;=80")-S19-S18</f>
        <v>0</v>
      </c>
      <c r="T20" s="33">
        <f t="shared" si="7"/>
        <v>0</v>
      </c>
      <c r="U20" s="36">
        <f t="shared" si="8"/>
        <v>0</v>
      </c>
      <c r="V20" s="33">
        <f t="shared" si="9"/>
        <v>0</v>
      </c>
      <c r="W20" s="36">
        <f t="shared" si="10"/>
        <v>0</v>
      </c>
      <c r="X20" s="34">
        <f t="shared" si="11"/>
        <v>0</v>
      </c>
    </row>
    <row r="21" spans="2:24" x14ac:dyDescent="0.25">
      <c r="B21" s="31" t="s">
        <v>220</v>
      </c>
      <c r="C21" s="32">
        <f>COUNTIF(База!$O$4:$O$177, "&gt;=70")-C20-C19-C18</f>
        <v>0</v>
      </c>
      <c r="D21" s="33">
        <f t="shared" si="1"/>
        <v>0</v>
      </c>
      <c r="E21" s="32">
        <f>COUNTIFS(База!$O$4:$O$177, "&gt;=70",База!$C$4:$C$177,"=0")-E18-E19-E20</f>
        <v>0</v>
      </c>
      <c r="F21" s="33">
        <f t="shared" si="4"/>
        <v>0</v>
      </c>
      <c r="G21" s="32">
        <f>COUNTIF(База!$X$4:$X$177, "&gt;=70")-G20-G19-G18</f>
        <v>0</v>
      </c>
      <c r="H21" s="33">
        <f t="shared" si="2"/>
        <v>0</v>
      </c>
      <c r="I21" s="32">
        <f>COUNTIFS(База!$X$4:$X$177, "&gt;=70",База!$C$4:$C$177,"=0")-I20-I19-I18</f>
        <v>0</v>
      </c>
      <c r="J21" s="33">
        <f t="shared" ca="1" si="12"/>
        <v>0</v>
      </c>
      <c r="K21" s="32">
        <f>COUNTIF(База!$AG$4:$AG$177, "&gt;=70")-K20-K19-K18</f>
        <v>0</v>
      </c>
      <c r="L21" s="33">
        <f>K21/$K$16*100</f>
        <v>0</v>
      </c>
      <c r="M21" s="32">
        <f>COUNTIFS(База!$AG$4:$AG$177, "&gt;=70",База!$C$4:$C$177,"=0")-M18-M19-M20</f>
        <v>0</v>
      </c>
      <c r="N21" s="34">
        <f>M21/$M$16*100</f>
        <v>0</v>
      </c>
      <c r="P21" s="31" t="s">
        <v>220</v>
      </c>
      <c r="Q21" s="32">
        <f>COUNTIFS(База!$L$4:$L$177,База!$L$4,База!$O$4:$O$177,"&gt;=70")-Q20-Q19-Q18</f>
        <v>0</v>
      </c>
      <c r="R21" s="33">
        <f t="shared" si="6"/>
        <v>0</v>
      </c>
      <c r="S21" s="36">
        <f>COUNTIFS(База!$C$4:$C$177,База!$C$4,База!$L$4:$L$177,База!$L$4,База!$O$4:$O$177,"&gt;=70")-S20-S19-S18</f>
        <v>0</v>
      </c>
      <c r="T21" s="33">
        <f t="shared" si="7"/>
        <v>0</v>
      </c>
      <c r="U21" s="36">
        <f t="shared" si="8"/>
        <v>0</v>
      </c>
      <c r="V21" s="33">
        <f t="shared" si="9"/>
        <v>0</v>
      </c>
      <c r="W21" s="36">
        <f t="shared" si="10"/>
        <v>0</v>
      </c>
      <c r="X21" s="34">
        <f t="shared" si="11"/>
        <v>0</v>
      </c>
    </row>
    <row r="22" spans="2:24" x14ac:dyDescent="0.25">
      <c r="B22" s="31" t="s">
        <v>221</v>
      </c>
      <c r="C22" s="32">
        <f>COUNTIF(База!$O$4:$O$177, "&gt;=50")-C21-C20-C19-C18</f>
        <v>0</v>
      </c>
      <c r="D22" s="33">
        <f t="shared" si="1"/>
        <v>0</v>
      </c>
      <c r="E22" s="32">
        <f>COUNTIFS(База!$O$4:$O$177, "&gt;=50",База!$C$4:$C$177,"=0")-E18-E19-E20-E21</f>
        <v>0</v>
      </c>
      <c r="F22" s="33">
        <f t="shared" si="4"/>
        <v>0</v>
      </c>
      <c r="G22" s="32">
        <f>COUNTIF(База!$X$4:$X$177, "&gt;=50")-G21-G20-G19-G18</f>
        <v>0</v>
      </c>
      <c r="H22" s="33">
        <f t="shared" si="2"/>
        <v>0</v>
      </c>
      <c r="I22" s="32">
        <f>COUNTIFS(База!$X$4:$X$177, "&gt;=50",База!$C$4:$C$177,"=0")-I21-I20-I19-I18</f>
        <v>0</v>
      </c>
      <c r="J22" s="33">
        <f t="shared" ca="1" si="12"/>
        <v>0</v>
      </c>
      <c r="K22" s="32">
        <f>COUNTIF(База!$AG$4:$AG$177, "&gt;=50")-K21-K20-K19-K18</f>
        <v>0</v>
      </c>
      <c r="L22" s="33">
        <f t="shared" si="3"/>
        <v>0</v>
      </c>
      <c r="M22" s="32">
        <f>COUNTIFS(База!$AG$4:$AG$177, "&gt;=50",База!$C$4:$C$177,"=0")-M18-M19-M20-M21</f>
        <v>0</v>
      </c>
      <c r="N22" s="34">
        <f>M22/$M$16*100</f>
        <v>0</v>
      </c>
      <c r="P22" s="31" t="s">
        <v>221</v>
      </c>
      <c r="Q22" s="32">
        <f>COUNTIFS(База!$L$4:$L$177,База!$L$4,База!$O$4:$O$177,"&gt;=50")-Q21-Q20-Q19-Q18</f>
        <v>0</v>
      </c>
      <c r="R22" s="33">
        <f t="shared" si="6"/>
        <v>0</v>
      </c>
      <c r="S22" s="36">
        <f>COUNTIFS(База!$C$4:$C$177,База!$C$4,База!$L$4:$L$177,База!$L$4,База!$O$4:$O$177,"&gt;=50")-S21-S20-S19-S18</f>
        <v>0</v>
      </c>
      <c r="T22" s="33">
        <f t="shared" si="7"/>
        <v>0</v>
      </c>
      <c r="U22" s="36">
        <f t="shared" si="8"/>
        <v>0</v>
      </c>
      <c r="V22" s="33">
        <f t="shared" si="9"/>
        <v>0</v>
      </c>
      <c r="W22" s="36">
        <f t="shared" si="10"/>
        <v>0</v>
      </c>
      <c r="X22" s="34">
        <f t="shared" si="11"/>
        <v>0</v>
      </c>
    </row>
    <row r="23" spans="2:24" x14ac:dyDescent="0.25">
      <c r="B23" s="53" t="s">
        <v>222</v>
      </c>
      <c r="C23" s="41">
        <f>COUNTIF(База!$O$4:$O$177, "&lt;50")</f>
        <v>4</v>
      </c>
      <c r="D23" s="40">
        <f t="shared" si="1"/>
        <v>2.2988505747126435</v>
      </c>
      <c r="E23" s="41">
        <f>COUNTIFS(База!$O$4:$O$177, "&lt;50",База!$C$4:$C$177,"=0")</f>
        <v>0</v>
      </c>
      <c r="F23" s="40">
        <f t="shared" si="4"/>
        <v>0</v>
      </c>
      <c r="G23" s="41">
        <f>COUNTIF(База!$X$4:$X$177, "&lt;50")</f>
        <v>4</v>
      </c>
      <c r="H23" s="40">
        <f t="shared" si="2"/>
        <v>2.2988505747126435</v>
      </c>
      <c r="I23" s="41">
        <f>COUNTIFS(База!$X$4:$X$177, "&lt;50",База!$C$4:$C$177,"=0")</f>
        <v>0</v>
      </c>
      <c r="J23" s="40">
        <f t="shared" ca="1" si="12"/>
        <v>0</v>
      </c>
      <c r="K23" s="41">
        <f>COUNTIF(База!$AG$4:$AG$177, "&lt;50")</f>
        <v>4</v>
      </c>
      <c r="L23" s="40">
        <f t="shared" si="3"/>
        <v>2.2988505747126435</v>
      </c>
      <c r="M23" s="41">
        <f>COUNTIFS(База!$AG$4:$AG$177, "&lt;50",База!$C$4:$C$177,"=0")</f>
        <v>0</v>
      </c>
      <c r="N23" s="42">
        <f t="shared" si="5"/>
        <v>0</v>
      </c>
      <c r="P23" s="53" t="s">
        <v>222</v>
      </c>
      <c r="Q23" s="41">
        <f>COUNTIFS(База!$L$5:$L$177,База!$L$5,База!$O$5:$O$177,"&lt;=50")</f>
        <v>4</v>
      </c>
      <c r="R23" s="40">
        <f t="shared" si="6"/>
        <v>2.2988505747126435</v>
      </c>
      <c r="S23" s="41">
        <f>COUNTIFS(База!$C$4:$C$177,База!$C$4,База!$L$4:$L$177,База!$L$5,База!$O$4:$O$177,"&lt;=50")</f>
        <v>0</v>
      </c>
      <c r="T23" s="40">
        <f t="shared" si="7"/>
        <v>0</v>
      </c>
      <c r="U23" s="41">
        <f t="shared" si="8"/>
        <v>0</v>
      </c>
      <c r="V23" s="40">
        <f t="shared" si="9"/>
        <v>0</v>
      </c>
      <c r="W23" s="41">
        <f t="shared" si="10"/>
        <v>0</v>
      </c>
      <c r="X23" s="42">
        <f t="shared" si="11"/>
        <v>0</v>
      </c>
    </row>
    <row r="25" spans="2:24" x14ac:dyDescent="0.25">
      <c r="B25" s="54" t="s">
        <v>563</v>
      </c>
      <c r="C25" s="50"/>
      <c r="D25" s="50"/>
      <c r="E25" s="50"/>
      <c r="F25" s="50"/>
      <c r="G25" s="51"/>
      <c r="H25" s="51"/>
    </row>
    <row r="26" spans="2:24" ht="102.75" customHeight="1" x14ac:dyDescent="0.25">
      <c r="B26" s="153" t="s">
        <v>249</v>
      </c>
      <c r="C26" s="47" t="s">
        <v>247</v>
      </c>
      <c r="D26" s="47" t="s">
        <v>250</v>
      </c>
      <c r="E26" s="72" t="s">
        <v>413</v>
      </c>
      <c r="F26" s="72" t="s">
        <v>489</v>
      </c>
      <c r="G26" s="66" t="s">
        <v>569</v>
      </c>
      <c r="H26" s="66" t="s">
        <v>570</v>
      </c>
    </row>
    <row r="27" spans="2:24" x14ac:dyDescent="0.25">
      <c r="B27" s="31" t="s">
        <v>316</v>
      </c>
      <c r="C27" s="33">
        <v>99.968601254129624</v>
      </c>
      <c r="D27" s="56">
        <f>VLOOKUP(Преглед!B27,База!$A$4:$AL$177,24,0)</f>
        <v>100</v>
      </c>
      <c r="E27" s="56">
        <f>VLOOKUP(Преглед!B27,База!$A$4:$AL$177,33,0)</f>
        <v>100</v>
      </c>
      <c r="F27" s="184">
        <f>VLOOKUP(B27,База!$A$4:$AP$177,42,0)</f>
        <v>43137</v>
      </c>
      <c r="G27" s="37" t="str">
        <f>IFERROR(VLOOKUP(B27,База!$A$4:$AH$177,34,FALSE),"")</f>
        <v>Архивиране су старе књиге и завршили смо препис из МК у електронски облик.</v>
      </c>
      <c r="H27" s="160" t="str">
        <f>VLOOKUP(B27,База!$A$4:$AI$177,35,FALSE)</f>
        <v>Завршили смо препис из МК у електронски облик. за период од 1916.г. до 1945.г. у МКВ постојало је неслагање у броју уписа и преписа /21/. Прегледом и коначним пребројавањем утврђен је исти број недостајућих преписа који је извршен са 30.09.2019.г. те је проценат преписа из МК сада 100%. /18677 уписа и 18677 преписа/.</v>
      </c>
    </row>
    <row r="28" spans="2:24" x14ac:dyDescent="0.25">
      <c r="B28" s="31" t="s">
        <v>169</v>
      </c>
      <c r="C28" s="132">
        <f>VLOOKUP(Преглед!B28,База!$A$4:$AL$177,15,0)</f>
        <v>94.461023925906872</v>
      </c>
      <c r="D28" s="56">
        <f>VLOOKUP(Преглед!B28,База!$A$4:$AL$177,24,0)</f>
        <v>100</v>
      </c>
      <c r="E28" s="56">
        <f>VLOOKUP(Преглед!B28,База!$A$4:$AL$177,33,0)</f>
        <v>94.284661261140528</v>
      </c>
      <c r="F28" s="184">
        <f>VLOOKUP(B28,База!$A$4:$AP$177,42,0)</f>
        <v>43281</v>
      </c>
      <c r="G28" s="37" t="str">
        <f>IFERROR(VLOOKUP(B28,База!$A$4:$AH$177,34,FALSE),"")</f>
        <v>Процес архивирања ће се наставити после извршеног преписа зато што су верске књиге физички неодвојиве, односно године које се могу архивирати су заједно са оним које треба преписати</v>
      </c>
      <c r="H28" s="160" t="str">
        <f>VLOOKUP(B28,База!$A$4:$AI$177,35,FALSE)</f>
        <v>Успорена је активност на упису из папирног у електронски облик због већег ангажовања матичара на шалтерима као и због одсуства једног броја матичара услед болести и одмора.</v>
      </c>
    </row>
    <row r="29" spans="2:24" x14ac:dyDescent="0.25">
      <c r="B29" s="31" t="s">
        <v>170</v>
      </c>
      <c r="C29" s="132">
        <f>VLOOKUP(Преглед!B29,База!$A$4:$AL$177,15,0)</f>
        <v>92.570305990931331</v>
      </c>
      <c r="D29" s="56">
        <f>VLOOKUP(Преглед!B29,База!$A$4:$AL$177,24,0)</f>
        <v>95.129857440738235</v>
      </c>
      <c r="E29" s="56">
        <f>VLOOKUP(Преглед!B29,База!$A$4:$AL$177,33,0)</f>
        <v>92.48028476173765</v>
      </c>
      <c r="F29" s="184">
        <f>VLOOKUP(B29,База!$A$4:$AP$177,42,0)</f>
        <v>43252</v>
      </c>
      <c r="G29" s="37" t="str">
        <f>IFERROR(VLOOKUP(B29,База!$A$4:$AH$177,34,FALSE),"")</f>
        <v>МАТИЧНЕ КЊИГЕ ДО 1916. ГОДИНЕ СУ АРХИВИРАНЕ И НАЛАЗЕ СЕ У АРХИВУ ГРАДА НОВОГ САДА .</v>
      </c>
      <c r="H29" s="160" t="str">
        <f>VLOOKUP(B29,База!$A$4:$AI$177,35,FALSE)</f>
        <v>У ПЕРИОДУ ОД 1895.Г. ДО 1916.Г. БИЛО ЈЕ УКУПНО 267715 УПИСА У ПАПИРНОМ ОБЛИКУ, ОД ЧЕГА ЈЕ У ЕЛЕКТРОНСКИ ОБЛИК УНЕТО 12084 У ПИСА, И СВЕ ЈЕ ТО КОМПЛЕТНО ПРЕДАТО АРХИВУ ГРАДА НОВОГ САДА</v>
      </c>
    </row>
    <row r="30" spans="2:24" x14ac:dyDescent="0.25">
      <c r="B30" s="31" t="s">
        <v>202</v>
      </c>
      <c r="C30" s="132">
        <f>VLOOKUP(Преглед!B30,База!$A$4:$AL$177,15,0)</f>
        <v>93.543388080205176</v>
      </c>
      <c r="D30" s="56">
        <f>VLOOKUP(Преглед!B30,База!$A$4:$AL$177,24,0)</f>
        <v>100</v>
      </c>
      <c r="E30" s="56">
        <f>VLOOKUP(Преглед!B30,База!$A$4:$AL$177,33,0)</f>
        <v>93.463098468031461</v>
      </c>
      <c r="F30" s="184">
        <f>VLOOKUP(B30,База!$A$4:$AP$177,42,0)</f>
        <v>43465</v>
      </c>
      <c r="G30" s="37" t="str">
        <f>IFERROR(VLOOKUP(B30,База!$A$4:$AH$177,34,FALSE),"")</f>
        <v>-</v>
      </c>
      <c r="H30" s="160" t="str">
        <f>VLOOKUP(B30,База!$A$4:$AI$177,35,FALSE)</f>
        <v>Од 1916.г до 1946.г одрађено 240 преписа из папирног у електронски облик за период од 31.08 до 07.09.2020.г</v>
      </c>
    </row>
    <row r="31" spans="2:24" x14ac:dyDescent="0.25">
      <c r="B31" s="31" t="s">
        <v>207</v>
      </c>
      <c r="C31" s="132">
        <f>VLOOKUP(Преглед!B31,База!$A$4:$AL$177,15,0)</f>
        <v>90.218208489960574</v>
      </c>
      <c r="D31" s="56">
        <f>VLOOKUP(Преглед!B31,База!$A$4:$AL$177,24,0)</f>
        <v>100</v>
      </c>
      <c r="E31" s="56">
        <f>VLOOKUP(Преглед!B31,База!$A$4:$AL$177,33,0)</f>
        <v>92.508372734436563</v>
      </c>
      <c r="F31" s="184">
        <f>VLOOKUP(B31,База!$A$4:$AP$177,42,0)</f>
        <v>43465</v>
      </c>
      <c r="G31" s="37" t="str">
        <f>IFERROR(VLOOKUP(B31,База!$A$4:$AH$177,34,FALSE),"")</f>
        <v>КЊИГЕ СУ АРХИВИРАНЕ 30.06.2017.Г. И 30.04.2019..</v>
      </c>
      <c r="H31" s="160">
        <f>VLOOKUP(B31,База!$A$4:$AI$177,35,FALSE)</f>
        <v>0</v>
      </c>
    </row>
    <row r="32" spans="2:24" x14ac:dyDescent="0.25">
      <c r="B32" s="31"/>
      <c r="C32" s="132" t="e">
        <f>VLOOKUP(Преглед!B32,База!$A$4:$AL$177,15,0)</f>
        <v>#N/A</v>
      </c>
      <c r="D32" s="56" t="e">
        <f>VLOOKUP(Преглед!B32,База!$A$4:$AL$177,24,0)</f>
        <v>#N/A</v>
      </c>
      <c r="E32" s="56" t="e">
        <f>VLOOKUP(Преглед!B32,База!$A$4:$AL$177,33,0)</f>
        <v>#N/A</v>
      </c>
      <c r="F32" s="184" t="e">
        <f>VLOOKUP(B32,База!$A$4:$AP$177,42,0)</f>
        <v>#N/A</v>
      </c>
      <c r="G32" s="37" t="str">
        <f>IFERROR(VLOOKUP(B32,База!$A$4:$AH$177,34,FALSE),"")</f>
        <v/>
      </c>
      <c r="H32" s="160" t="e">
        <f>VLOOKUP(B32,База!$A$4:$AI$177,35,FALSE)</f>
        <v>#N/A</v>
      </c>
    </row>
    <row r="33" spans="2:15" x14ac:dyDescent="0.25">
      <c r="B33" s="31"/>
      <c r="C33" s="132" t="e">
        <f>VLOOKUP(Преглед!B33,База!$A$4:$AL$177,15,0)</f>
        <v>#N/A</v>
      </c>
      <c r="D33" s="56" t="e">
        <f>VLOOKUP(Преглед!B33,База!$A$4:$AL$177,24,0)</f>
        <v>#N/A</v>
      </c>
      <c r="E33" s="56" t="e">
        <f>VLOOKUP(Преглед!B33,База!$A$4:$AL$177,33,0)</f>
        <v>#N/A</v>
      </c>
      <c r="F33" s="184" t="e">
        <f>VLOOKUP(B33,База!$A$4:$AP$177,42,0)</f>
        <v>#N/A</v>
      </c>
      <c r="G33" s="37" t="str">
        <f>IFERROR(VLOOKUP(B33,База!$A$4:$AH$177,34,FALSE),"")</f>
        <v/>
      </c>
      <c r="H33" s="160" t="e">
        <f>VLOOKUP(B33,База!$A$4:$AI$177,35,FALSE)</f>
        <v>#N/A</v>
      </c>
    </row>
    <row r="34" spans="2:15" x14ac:dyDescent="0.25">
      <c r="B34" s="31"/>
      <c r="C34" s="132" t="e">
        <f>VLOOKUP(Преглед!B34,База!$A$4:$AL$177,15,0)</f>
        <v>#N/A</v>
      </c>
      <c r="D34" s="56" t="e">
        <f>VLOOKUP(Преглед!B34,База!$A$4:$AL$177,24,0)</f>
        <v>#N/A</v>
      </c>
      <c r="E34" s="56" t="e">
        <f>VLOOKUP(Преглед!B34,База!$A$4:$AL$177,33,0)</f>
        <v>#N/A</v>
      </c>
      <c r="F34" s="184" t="e">
        <f>VLOOKUP(B34,База!$A$4:$AP$177,42,0)</f>
        <v>#N/A</v>
      </c>
      <c r="G34" s="37" t="str">
        <f>IFERROR(VLOOKUP(B34,База!$A$4:$AH$177,34,FALSE),"")</f>
        <v/>
      </c>
      <c r="H34" s="160" t="e">
        <f>VLOOKUP(B34,База!$A$4:$AI$177,35,FALSE)</f>
        <v>#N/A</v>
      </c>
    </row>
    <row r="35" spans="2:15" x14ac:dyDescent="0.25">
      <c r="B35" s="31"/>
      <c r="C35" s="132" t="e">
        <f>VLOOKUP(Преглед!B35,База!$A$4:$AL$177,15,0)</f>
        <v>#N/A</v>
      </c>
      <c r="D35" s="56" t="e">
        <f>VLOOKUP(Преглед!B35,База!$A$4:$AL$177,24,0)</f>
        <v>#N/A</v>
      </c>
      <c r="E35" s="56" t="e">
        <f>VLOOKUP(Преглед!B35,База!$A$4:$AL$177,33,0)</f>
        <v>#N/A</v>
      </c>
      <c r="F35" s="184" t="e">
        <f>VLOOKUP(B35,База!$A$4:$AP$177,42,0)</f>
        <v>#N/A</v>
      </c>
      <c r="G35" s="37" t="str">
        <f>IFERROR(VLOOKUP(B35,База!$A$4:$AH$177,34,FALSE),"")</f>
        <v/>
      </c>
      <c r="H35" s="160" t="e">
        <f>VLOOKUP(B35,База!$A$4:$AI$177,35,FALSE)</f>
        <v>#N/A</v>
      </c>
    </row>
    <row r="36" spans="2:15" x14ac:dyDescent="0.25">
      <c r="B36" s="31"/>
      <c r="C36" s="132" t="e">
        <f>VLOOKUP(Преглед!B36,База!$A$4:$AL$177,15,0)</f>
        <v>#N/A</v>
      </c>
      <c r="D36" s="56" t="e">
        <f>VLOOKUP(Преглед!B36,База!$A$4:$AL$177,24,0)</f>
        <v>#N/A</v>
      </c>
      <c r="E36" s="56" t="e">
        <f>VLOOKUP(Преглед!B36,База!$A$4:$AL$177,33,0)</f>
        <v>#N/A</v>
      </c>
      <c r="F36" s="184" t="e">
        <f>VLOOKUP(B36,База!$A$4:$AP$177,42,0)</f>
        <v>#N/A</v>
      </c>
      <c r="G36" s="37" t="str">
        <f>IFERROR(VLOOKUP(B36,База!$A$4:$AH$177,34,FALSE),"")</f>
        <v/>
      </c>
      <c r="H36" s="160" t="e">
        <f>VLOOKUP(B36,База!$A$4:$AI$177,35,FALSE)</f>
        <v>#N/A</v>
      </c>
    </row>
    <row r="37" spans="2:15" x14ac:dyDescent="0.25">
      <c r="B37" s="31"/>
      <c r="C37" s="132" t="e">
        <f>VLOOKUP(Преглед!B37,База!$A$4:$AL$177,15,0)</f>
        <v>#N/A</v>
      </c>
      <c r="D37" s="56" t="e">
        <f>VLOOKUP(Преглед!B37,База!$A$4:$AL$177,24,0)</f>
        <v>#N/A</v>
      </c>
      <c r="E37" s="56" t="e">
        <f>VLOOKUP(Преглед!B37,База!$A$4:$AL$177,33,0)</f>
        <v>#N/A</v>
      </c>
      <c r="F37" s="184" t="e">
        <f>VLOOKUP(B37,База!$A$4:$AP$177,42,0)</f>
        <v>#N/A</v>
      </c>
      <c r="G37" s="37" t="str">
        <f>IFERROR(VLOOKUP(B37,База!$A$4:$AH$177,34,FALSE),"")</f>
        <v/>
      </c>
      <c r="H37" s="160" t="e">
        <f>VLOOKUP(B37,База!$A$4:$AI$177,35,FALSE)</f>
        <v>#N/A</v>
      </c>
    </row>
    <row r="38" spans="2:15" x14ac:dyDescent="0.25">
      <c r="B38" s="31"/>
      <c r="C38" s="132" t="e">
        <f>VLOOKUP(Преглед!B38,База!$A$4:$AL$177,15,0)</f>
        <v>#N/A</v>
      </c>
      <c r="D38" s="56" t="e">
        <f>VLOOKUP(Преглед!B38,База!$A$4:$AL$177,24,0)</f>
        <v>#N/A</v>
      </c>
      <c r="E38" s="56" t="e">
        <f>VLOOKUP(Преглед!B38,База!$A$4:$AL$177,33,0)</f>
        <v>#N/A</v>
      </c>
      <c r="F38" s="184" t="e">
        <f>VLOOKUP(B38,База!$A$4:$AP$177,42,0)</f>
        <v>#N/A</v>
      </c>
      <c r="G38" s="37" t="str">
        <f>IFERROR(VLOOKUP(B38,База!$A$4:$AH$177,34,FALSE),"")</f>
        <v/>
      </c>
      <c r="H38" s="160" t="e">
        <f>VLOOKUP(B38,База!$A$4:$AI$177,35,FALSE)</f>
        <v>#N/A</v>
      </c>
      <c r="K38" s="192"/>
    </row>
    <row r="39" spans="2:15" x14ac:dyDescent="0.25">
      <c r="B39" s="31"/>
      <c r="C39" s="64" t="e">
        <f>VLOOKUP(Преглед!B39,База!$A$4:$AL$177,15,0)</f>
        <v>#N/A</v>
      </c>
      <c r="D39" s="56" t="e">
        <f>VLOOKUP(Преглед!B39,База!$A$4:$AL$177,24,0)</f>
        <v>#N/A</v>
      </c>
      <c r="E39" s="56" t="e">
        <f>VLOOKUP(Преглед!B39,База!$A$4:$AL$177,33,0)</f>
        <v>#N/A</v>
      </c>
      <c r="F39" s="184" t="e">
        <f>VLOOKUP(B39,База!$A$4:$AP$177,42,0)</f>
        <v>#N/A</v>
      </c>
      <c r="G39" s="37" t="str">
        <f>IFERROR(VLOOKUP(B39,База!$A$4:$AH$177,34,FALSE),"")</f>
        <v/>
      </c>
      <c r="H39" s="160" t="e">
        <f>VLOOKUP(B39,База!$A$4:$AI$177,35,FALSE)</f>
        <v>#N/A</v>
      </c>
    </row>
    <row r="40" spans="2:15" x14ac:dyDescent="0.25">
      <c r="B40" s="31"/>
      <c r="C40" s="64" t="e">
        <f>VLOOKUP(Преглед!B40,База!$A$4:$AL$177,15,0)</f>
        <v>#N/A</v>
      </c>
      <c r="D40" s="56" t="e">
        <f>VLOOKUP(Преглед!B40,База!$A$4:$AL$177,24,0)</f>
        <v>#N/A</v>
      </c>
      <c r="E40" s="56" t="e">
        <f>VLOOKUP(Преглед!B40,База!$A$4:$AL$177,33,0)</f>
        <v>#N/A</v>
      </c>
      <c r="F40" s="184" t="e">
        <f>VLOOKUP(B40,База!$A$4:$AP$177,42,0)</f>
        <v>#N/A</v>
      </c>
      <c r="G40" s="37" t="str">
        <f>IFERROR(VLOOKUP(B40,База!$A$4:$AH$177,34,FALSE),"")</f>
        <v/>
      </c>
      <c r="H40" s="160" t="e">
        <f>VLOOKUP(B40,База!$A$4:$AI$177,35,FALSE)</f>
        <v>#N/A</v>
      </c>
    </row>
    <row r="41" spans="2:15" x14ac:dyDescent="0.25">
      <c r="B41" s="53"/>
      <c r="C41" s="75" t="e">
        <f>VLOOKUP(Преглед!B41,База!$A$4:$AL$177,15,0)</f>
        <v>#N/A</v>
      </c>
      <c r="D41" s="58" t="e">
        <f>VLOOKUP(Преглед!B41,База!$A$4:$AL$177,24,0)</f>
        <v>#N/A</v>
      </c>
      <c r="E41" s="58" t="e">
        <f>VLOOKUP(Преглед!B41,База!$A$4:$AL$177,33,0)</f>
        <v>#N/A</v>
      </c>
      <c r="F41" s="185" t="e">
        <f>VLOOKUP(B41,База!$A$4:$AP$177,42,0)</f>
        <v>#N/A</v>
      </c>
      <c r="G41" s="65" t="str">
        <f>IFERROR(VLOOKUP(B41,База!$A$4:$AH$177,34,FALSE),"")</f>
        <v/>
      </c>
      <c r="H41" s="165" t="e">
        <f>VLOOKUP(B41,База!$A$4:$AI$177,35,FALSE)</f>
        <v>#N/A</v>
      </c>
    </row>
    <row r="42" spans="2:15" x14ac:dyDescent="0.25">
      <c r="O42" s="36"/>
    </row>
    <row r="43" spans="2:15" x14ac:dyDescent="0.25">
      <c r="O43" s="36"/>
    </row>
    <row r="44" spans="2:15" x14ac:dyDescent="0.25">
      <c r="O44" s="36"/>
    </row>
    <row r="45" spans="2:15" x14ac:dyDescent="0.25">
      <c r="B45" s="54" t="s">
        <v>237</v>
      </c>
      <c r="C45" s="50"/>
      <c r="D45" s="50"/>
      <c r="E45" s="50"/>
      <c r="F45" s="50"/>
      <c r="G45" s="50"/>
      <c r="H45" s="51"/>
      <c r="I45" s="81"/>
      <c r="J45" s="78"/>
      <c r="K45" s="74"/>
      <c r="L45" s="78"/>
      <c r="M45" s="78"/>
      <c r="N45" s="78"/>
    </row>
    <row r="46" spans="2:15" ht="60" x14ac:dyDescent="0.25">
      <c r="B46" s="46"/>
      <c r="C46" s="47" t="s">
        <v>249</v>
      </c>
      <c r="D46" s="47" t="s">
        <v>247</v>
      </c>
      <c r="E46" s="47" t="s">
        <v>250</v>
      </c>
      <c r="F46" s="72" t="s">
        <v>236</v>
      </c>
      <c r="G46" s="72" t="s">
        <v>248</v>
      </c>
      <c r="H46" s="72" t="s">
        <v>251</v>
      </c>
      <c r="I46" s="82"/>
      <c r="J46" s="76"/>
      <c r="K46" s="74"/>
      <c r="L46" s="76"/>
      <c r="M46" s="76"/>
      <c r="N46" s="76"/>
    </row>
    <row r="47" spans="2:15" x14ac:dyDescent="0.25">
      <c r="B47" s="31" t="s">
        <v>234</v>
      </c>
      <c r="C47" s="62" t="s">
        <v>170</v>
      </c>
      <c r="D47" s="36">
        <f>IFERROR(ROUND(VLOOKUP(C47,База!$A$4:$X$177,15,0),1),"")</f>
        <v>92.6</v>
      </c>
      <c r="E47" s="36">
        <f>IFERROR(ROUND(VLOOKUP(C47,База!$A$4:$BJ$177,24,0),1),"")</f>
        <v>95.1</v>
      </c>
      <c r="F47" s="182">
        <f>IFERROR(VLOOKUP(C47,База!$A$4:$BJ$177,42,0),"")</f>
        <v>43252</v>
      </c>
      <c r="G47" s="56" t="e">
        <f>VLOOKUP(C47,#REF!,5,0)</f>
        <v>#REF!</v>
      </c>
      <c r="H47" s="56" t="e">
        <f>VLOOKUP(C47,#REF!,11,0)</f>
        <v>#REF!</v>
      </c>
      <c r="I47" s="83"/>
      <c r="J47" s="74"/>
      <c r="K47" s="74"/>
      <c r="L47" s="74"/>
      <c r="M47" s="74"/>
      <c r="N47" s="74"/>
    </row>
    <row r="48" spans="2:15" x14ac:dyDescent="0.25">
      <c r="B48" s="31" t="s">
        <v>234</v>
      </c>
      <c r="C48" s="62" t="s">
        <v>235</v>
      </c>
      <c r="D48" s="36">
        <f>IFERROR(ROUND(VLOOKUP(C48,База!$A$4:$X$177,15,0),1),"")</f>
        <v>100</v>
      </c>
      <c r="E48" s="36">
        <f>IFERROR(ROUND(VLOOKUP(C48,База!$A$4:$BJ$177,24,0),1),"")</f>
        <v>100</v>
      </c>
      <c r="F48" s="182" t="str">
        <f>IFERROR(VLOOKUP(C48,База!$A$4:$BJ$177,42,0),"")</f>
        <v/>
      </c>
      <c r="G48" s="56" t="e">
        <f>VLOOKUP(C48,#REF!,5,0)</f>
        <v>#REF!</v>
      </c>
      <c r="H48" s="56" t="e">
        <f>VLOOKUP(C48,#REF!,11,0)</f>
        <v>#REF!</v>
      </c>
      <c r="I48" s="83"/>
      <c r="J48" s="74"/>
      <c r="K48" s="74"/>
      <c r="L48" s="74"/>
      <c r="M48" s="74"/>
      <c r="N48" s="74"/>
    </row>
    <row r="49" spans="2:14" x14ac:dyDescent="0.25">
      <c r="B49" s="53" t="s">
        <v>234</v>
      </c>
      <c r="C49" s="63" t="s">
        <v>202</v>
      </c>
      <c r="D49" s="41">
        <f>IFERROR(ROUND(VLOOKUP(C49,База!$A$4:$X$177,15,0),1),"")</f>
        <v>93.5</v>
      </c>
      <c r="E49" s="41">
        <f>IFERROR(ROUND(VLOOKUP(C49,База!$A$4:$BJ$177,24,0),1),"")</f>
        <v>100</v>
      </c>
      <c r="F49" s="183">
        <f>IFERROR(VLOOKUP(C49,База!$A$4:$BJ$177,42,0),"")</f>
        <v>43465</v>
      </c>
      <c r="G49" s="58" t="e">
        <f>VLOOKUP(C49,#REF!,5,0)</f>
        <v>#REF!</v>
      </c>
      <c r="H49" s="58" t="e">
        <f>VLOOKUP(C49,#REF!,11,0)</f>
        <v>#REF!</v>
      </c>
      <c r="I49" s="83"/>
      <c r="J49" s="74"/>
      <c r="K49" s="74"/>
      <c r="L49" s="74"/>
      <c r="M49" s="74"/>
      <c r="N49" s="74"/>
    </row>
    <row r="51" spans="2:14" x14ac:dyDescent="0.25">
      <c r="B51" s="177" t="s">
        <v>491</v>
      </c>
      <c r="C51" s="50"/>
      <c r="D51" s="50"/>
      <c r="E51" s="50"/>
      <c r="F51" s="50"/>
      <c r="G51" s="50"/>
      <c r="H51" s="73"/>
    </row>
    <row r="52" spans="2:14" ht="90" x14ac:dyDescent="0.25">
      <c r="B52" s="153" t="s">
        <v>249</v>
      </c>
      <c r="C52" s="47" t="s">
        <v>247</v>
      </c>
      <c r="D52" s="47" t="s">
        <v>250</v>
      </c>
      <c r="E52" s="72" t="s">
        <v>488</v>
      </c>
      <c r="F52" s="72" t="s">
        <v>248</v>
      </c>
      <c r="G52" s="72" t="s">
        <v>251</v>
      </c>
      <c r="H52" s="66" t="s">
        <v>570</v>
      </c>
    </row>
    <row r="53" spans="2:14" x14ac:dyDescent="0.25">
      <c r="B53" s="144" t="s">
        <v>170</v>
      </c>
      <c r="C53" s="33">
        <f>VLOOKUP(Преглед!B53,База!$A$4:$AL$177,15,0)</f>
        <v>92.570305990931331</v>
      </c>
      <c r="D53" s="33">
        <f>VLOOKUP(Преглед!B53,База!$A$4:$AL$177,24,0)</f>
        <v>95.129857440738235</v>
      </c>
      <c r="E53" s="184">
        <f>VLOOKUP(B53,База!$A$4:$AP$177,42,0)</f>
        <v>43252</v>
      </c>
      <c r="F53" s="56" t="e">
        <f>VLOOKUP(B53,#REF!,5,0)</f>
        <v>#REF!</v>
      </c>
      <c r="G53" s="56" t="e">
        <f>VLOOKUP(B53,#REF!,11,0)</f>
        <v>#REF!</v>
      </c>
      <c r="H53" s="137" t="str">
        <f>VLOOKUP(B53,База!$A$4:$AI$177,35,FALSE)</f>
        <v>У ПЕРИОДУ ОД 1895.Г. ДО 1916.Г. БИЛО ЈЕ УКУПНО 267715 УПИСА У ПАПИРНОМ ОБЛИКУ, ОД ЧЕГА ЈЕ У ЕЛЕКТРОНСКИ ОБЛИК УНЕТО 12084 У ПИСА, И СВЕ ЈЕ ТО КОМПЛЕТНО ПРЕДАТО АРХИВУ ГРАДА НОВОГ САДА</v>
      </c>
    </row>
    <row r="54" spans="2:14" x14ac:dyDescent="0.25">
      <c r="B54" s="144"/>
      <c r="C54" s="56" t="e">
        <f>VLOOKUP(Преглед!B54,База!$A$4:$AL$177,15,0)</f>
        <v>#N/A</v>
      </c>
      <c r="D54" s="56" t="e">
        <f>VLOOKUP(Преглед!B54,База!$A$4:$AL$177,24,0)</f>
        <v>#N/A</v>
      </c>
      <c r="E54" s="184" t="e">
        <f>VLOOKUP(B54,База!$A$4:$AP$177,42,0)</f>
        <v>#N/A</v>
      </c>
      <c r="F54" s="56" t="e">
        <f>VLOOKUP(B54,#REF!,5,0)</f>
        <v>#REF!</v>
      </c>
      <c r="G54" s="56" t="e">
        <f>VLOOKUP(B54,#REF!,11,0)</f>
        <v>#REF!</v>
      </c>
      <c r="H54" s="137" t="e">
        <f>VLOOKUP(B54,База!$A$4:$AI$177,35,FALSE)</f>
        <v>#N/A</v>
      </c>
    </row>
    <row r="55" spans="2:14" x14ac:dyDescent="0.25">
      <c r="B55" s="144"/>
      <c r="C55" s="56" t="e">
        <f>VLOOKUP(Преглед!B55,База!$A$4:$AL$177,15,0)</f>
        <v>#N/A</v>
      </c>
      <c r="D55" s="56" t="e">
        <f>VLOOKUP(Преглед!B55,База!$A$4:$AL$177,24,0)</f>
        <v>#N/A</v>
      </c>
      <c r="E55" s="184" t="e">
        <f>VLOOKUP(B55,База!$A$4:$AP$177,42,0)</f>
        <v>#N/A</v>
      </c>
      <c r="F55" s="64" t="e">
        <f>VLOOKUP(B55,#REF!,5,0)</f>
        <v>#REF!</v>
      </c>
      <c r="G55" s="56" t="e">
        <f>VLOOKUP(B55,#REF!,11,0)</f>
        <v>#REF!</v>
      </c>
      <c r="H55" s="137" t="e">
        <f>VLOOKUP(B55,База!$A$4:$AI$177,35,FALSE)</f>
        <v>#N/A</v>
      </c>
    </row>
    <row r="56" spans="2:14" x14ac:dyDescent="0.25">
      <c r="B56" s="144"/>
      <c r="C56" s="64" t="e">
        <f>VLOOKUP(Преглед!B56,База!$A$4:$AL$177,15,0)</f>
        <v>#N/A</v>
      </c>
      <c r="D56" s="56" t="e">
        <f>VLOOKUP(Преглед!B56,База!$A$4:$AL$177,24,0)</f>
        <v>#N/A</v>
      </c>
      <c r="E56" s="184" t="e">
        <f>VLOOKUP(B56,База!$A$4:$AP$177,42,0)</f>
        <v>#N/A</v>
      </c>
      <c r="F56" s="64" t="e">
        <f>VLOOKUP(B56,#REF!,5,0)</f>
        <v>#REF!</v>
      </c>
      <c r="G56" s="56" t="e">
        <f>VLOOKUP(B56,#REF!,11,0)</f>
        <v>#REF!</v>
      </c>
      <c r="H56" s="137" t="e">
        <f>VLOOKUP(B56,База!$A$4:$AI$177,35,FALSE)</f>
        <v>#N/A</v>
      </c>
    </row>
    <row r="57" spans="2:14" x14ac:dyDescent="0.25">
      <c r="B57" s="144"/>
      <c r="C57" s="64" t="e">
        <f>VLOOKUP(Преглед!B57,База!$A$4:$AL$177,15,0)</f>
        <v>#N/A</v>
      </c>
      <c r="D57" s="56" t="e">
        <f>VLOOKUP(Преглед!B57,База!$A$4:$AL$177,24,0)</f>
        <v>#N/A</v>
      </c>
      <c r="E57" s="184" t="e">
        <f>VLOOKUP(B57,База!$A$4:$AP$177,42,0)</f>
        <v>#N/A</v>
      </c>
      <c r="F57" s="64" t="e">
        <f>VLOOKUP(B57,#REF!,5,0)</f>
        <v>#REF!</v>
      </c>
      <c r="G57" s="56" t="e">
        <f>VLOOKUP(B57,#REF!,11,0)</f>
        <v>#REF!</v>
      </c>
      <c r="H57" s="137" t="e">
        <f>VLOOKUP(B57,База!$A$4:$AI$177,35,FALSE)</f>
        <v>#N/A</v>
      </c>
    </row>
    <row r="58" spans="2:14" x14ac:dyDescent="0.25">
      <c r="B58" s="144"/>
      <c r="C58" s="64" t="e">
        <f>VLOOKUP(Преглед!B58,База!$A$4:$AL$177,15,0)</f>
        <v>#N/A</v>
      </c>
      <c r="D58" s="56" t="e">
        <f>VLOOKUP(Преглед!B58,База!$A$4:$AL$177,24,0)</f>
        <v>#N/A</v>
      </c>
      <c r="E58" s="184" t="e">
        <f>VLOOKUP(B58,База!$A$4:$AP$177,42,0)</f>
        <v>#N/A</v>
      </c>
      <c r="F58" s="64" t="e">
        <f>VLOOKUP(B58,#REF!,5,0)</f>
        <v>#REF!</v>
      </c>
      <c r="G58" s="56" t="e">
        <f>VLOOKUP(B58,#REF!,11,0)</f>
        <v>#REF!</v>
      </c>
      <c r="H58" s="137" t="e">
        <f>VLOOKUP(B58,База!$A$4:$AI$177,35,FALSE)</f>
        <v>#N/A</v>
      </c>
    </row>
    <row r="59" spans="2:14" x14ac:dyDescent="0.25">
      <c r="B59" s="144"/>
      <c r="C59" s="64" t="e">
        <f>VLOOKUP(Преглед!B59,База!$A$4:$AL$177,15,0)</f>
        <v>#N/A</v>
      </c>
      <c r="D59" s="56" t="e">
        <f>VLOOKUP(Преглед!B59,База!$A$4:$AL$177,24,0)</f>
        <v>#N/A</v>
      </c>
      <c r="E59" s="184" t="e">
        <f>VLOOKUP(B59,База!$A$4:$AP$177,42,0)</f>
        <v>#N/A</v>
      </c>
      <c r="F59" s="64" t="e">
        <f>VLOOKUP(B59,#REF!,5,0)</f>
        <v>#REF!</v>
      </c>
      <c r="G59" s="56" t="e">
        <f>VLOOKUP(B59,#REF!,11,0)</f>
        <v>#REF!</v>
      </c>
      <c r="H59" s="137" t="e">
        <f>VLOOKUP(B59,База!$A$4:$AI$177,35,FALSE)</f>
        <v>#N/A</v>
      </c>
    </row>
    <row r="60" spans="2:14" x14ac:dyDescent="0.25">
      <c r="B60" s="144"/>
      <c r="C60" s="64" t="e">
        <f>VLOOKUP(Преглед!B60,База!$A$4:$AL$177,15,0)</f>
        <v>#N/A</v>
      </c>
      <c r="D60" s="56" t="e">
        <f>VLOOKUP(Преглед!B60,База!$A$4:$AL$177,24,0)</f>
        <v>#N/A</v>
      </c>
      <c r="E60" s="184" t="e">
        <f>VLOOKUP(B60,База!$A$4:$AP$177,42,0)</f>
        <v>#N/A</v>
      </c>
      <c r="F60" s="64" t="e">
        <f>VLOOKUP(B60,#REF!,5,0)</f>
        <v>#REF!</v>
      </c>
      <c r="G60" s="56" t="e">
        <f>VLOOKUP(B60,#REF!,11,0)</f>
        <v>#REF!</v>
      </c>
      <c r="H60" s="137" t="e">
        <f>VLOOKUP(B60,База!$A$4:$AI$177,35,FALSE)</f>
        <v>#N/A</v>
      </c>
    </row>
    <row r="61" spans="2:14" x14ac:dyDescent="0.25">
      <c r="B61" s="144"/>
      <c r="C61" s="64" t="e">
        <f>VLOOKUP(Преглед!B61,База!$A$4:$AL$177,15,0)</f>
        <v>#N/A</v>
      </c>
      <c r="D61" s="56" t="e">
        <f>VLOOKUP(Преглед!B61,База!$A$4:$AL$177,24,0)</f>
        <v>#N/A</v>
      </c>
      <c r="E61" s="184" t="e">
        <f>VLOOKUP(B61,База!$A$4:$AP$177,42,0)</f>
        <v>#N/A</v>
      </c>
      <c r="F61" s="64" t="e">
        <f>VLOOKUP(B61,#REF!,5,0)</f>
        <v>#REF!</v>
      </c>
      <c r="G61" s="56" t="e">
        <f>VLOOKUP(B61,#REF!,11,0)</f>
        <v>#REF!</v>
      </c>
      <c r="H61" s="137" t="e">
        <f>VLOOKUP(B61,База!$A$4:$AI$177,35,FALSE)</f>
        <v>#N/A</v>
      </c>
    </row>
    <row r="62" spans="2:14" x14ac:dyDescent="0.25">
      <c r="B62" s="144"/>
      <c r="C62" s="64" t="e">
        <f>VLOOKUP(Преглед!B62,База!$A$4:$AL$177,15,0)</f>
        <v>#N/A</v>
      </c>
      <c r="D62" s="56" t="e">
        <f>VLOOKUP(Преглед!B62,База!$A$4:$AL$177,24,0)</f>
        <v>#N/A</v>
      </c>
      <c r="E62" s="184" t="e">
        <f>VLOOKUP(B62,База!$A$4:$AP$177,42,0)</f>
        <v>#N/A</v>
      </c>
      <c r="F62" s="64" t="e">
        <f>VLOOKUP(B62,#REF!,5,0)</f>
        <v>#REF!</v>
      </c>
      <c r="G62" s="56" t="e">
        <f>VLOOKUP(B62,#REF!,11,0)</f>
        <v>#REF!</v>
      </c>
      <c r="H62" s="137" t="e">
        <f>VLOOKUP(B62,База!$A$4:$AI$177,35,FALSE)</f>
        <v>#N/A</v>
      </c>
    </row>
    <row r="63" spans="2:14" x14ac:dyDescent="0.25">
      <c r="B63" s="144"/>
      <c r="C63" s="64" t="e">
        <f>VLOOKUP(Преглед!B63,База!$A$4:$AL$177,15,0)</f>
        <v>#N/A</v>
      </c>
      <c r="D63" s="56" t="e">
        <f>VLOOKUP(Преглед!B63,База!$A$4:$AL$177,24,0)</f>
        <v>#N/A</v>
      </c>
      <c r="E63" s="184" t="e">
        <f>VLOOKUP(B63,База!$A$4:$AP$177,42,0)</f>
        <v>#N/A</v>
      </c>
      <c r="F63" s="64" t="e">
        <f>VLOOKUP(B63,#REF!,5,0)</f>
        <v>#REF!</v>
      </c>
      <c r="G63" s="56" t="e">
        <f>VLOOKUP(B63,#REF!,11,0)</f>
        <v>#REF!</v>
      </c>
      <c r="H63" s="137" t="e">
        <f>VLOOKUP(B63,База!$A$4:$AI$177,35,FALSE)</f>
        <v>#N/A</v>
      </c>
    </row>
    <row r="64" spans="2:14" x14ac:dyDescent="0.25">
      <c r="B64" s="144"/>
      <c r="C64" s="64" t="e">
        <f>VLOOKUP(Преглед!B64,База!$A$4:$AL$177,15,0)</f>
        <v>#N/A</v>
      </c>
      <c r="D64" s="56" t="e">
        <f>VLOOKUP(Преглед!B64,База!$A$4:$AL$177,24,0)</f>
        <v>#N/A</v>
      </c>
      <c r="E64" s="184" t="e">
        <f>VLOOKUP(B64,База!$A$4:$AP$177,42,0)</f>
        <v>#N/A</v>
      </c>
      <c r="F64" s="64" t="e">
        <f>VLOOKUP(B64,#REF!,5,0)</f>
        <v>#REF!</v>
      </c>
      <c r="G64" s="56" t="e">
        <f>VLOOKUP(B64,#REF!,11,0)</f>
        <v>#REF!</v>
      </c>
      <c r="H64" s="137" t="e">
        <f>VLOOKUP(B64,База!$A$4:$AI$177,35,FALSE)</f>
        <v>#N/A</v>
      </c>
    </row>
    <row r="65" spans="2:8" x14ac:dyDescent="0.25">
      <c r="B65" s="144"/>
      <c r="C65" s="64" t="e">
        <f>VLOOKUP(Преглед!B65,База!$A$4:$AL$177,15,0)</f>
        <v>#N/A</v>
      </c>
      <c r="D65" s="64" t="e">
        <f>VLOOKUP(Преглед!B65,База!$A$4:$AL$177,24,0)</f>
        <v>#N/A</v>
      </c>
      <c r="E65" s="184" t="e">
        <f>VLOOKUP(B65,База!$A$4:$AP$177,42,0)</f>
        <v>#N/A</v>
      </c>
      <c r="F65" s="64" t="e">
        <f>VLOOKUP(B65,#REF!,5,0)</f>
        <v>#REF!</v>
      </c>
      <c r="G65" s="64" t="e">
        <f>VLOOKUP(B65,#REF!,11,0)</f>
        <v>#REF!</v>
      </c>
      <c r="H65" s="137" t="e">
        <f>VLOOKUP(B65,База!$A$4:$AI$177,35,FALSE)</f>
        <v>#N/A</v>
      </c>
    </row>
    <row r="66" spans="2:8" x14ac:dyDescent="0.25">
      <c r="B66" s="144"/>
      <c r="C66" s="64" t="e">
        <f>VLOOKUP(Преглед!B66,База!$A$4:$AL$177,15,0)</f>
        <v>#N/A</v>
      </c>
      <c r="D66" s="64" t="e">
        <f>VLOOKUP(Преглед!B66,База!$A$4:$AL$177,24,0)</f>
        <v>#N/A</v>
      </c>
      <c r="E66" s="184" t="e">
        <f>VLOOKUP(B66,База!$A$4:$AP$177,42,0)</f>
        <v>#N/A</v>
      </c>
      <c r="F66" s="64" t="e">
        <f>VLOOKUP(B66,#REF!,5,0)</f>
        <v>#REF!</v>
      </c>
      <c r="G66" s="64" t="e">
        <f>VLOOKUP(B66,#REF!,11,0)</f>
        <v>#REF!</v>
      </c>
      <c r="H66" s="137" t="e">
        <f>VLOOKUP(B66,База!$A$4:$AI$177,35,FALSE)</f>
        <v>#N/A</v>
      </c>
    </row>
    <row r="67" spans="2:8" x14ac:dyDescent="0.25">
      <c r="B67" s="144"/>
      <c r="C67" s="64" t="e">
        <f>VLOOKUP(Преглед!B67,База!$A$4:$AL$177,15,0)</f>
        <v>#N/A</v>
      </c>
      <c r="D67" s="64" t="e">
        <f>VLOOKUP(Преглед!B67,База!$A$4:$AL$177,24,0)</f>
        <v>#N/A</v>
      </c>
      <c r="E67" s="184" t="e">
        <f>VLOOKUP(B67,База!$A$4:$AP$177,42,0)</f>
        <v>#N/A</v>
      </c>
      <c r="F67" s="64" t="e">
        <f>VLOOKUP(B67,#REF!,5,0)</f>
        <v>#REF!</v>
      </c>
      <c r="G67" s="64" t="e">
        <f>VLOOKUP(B67,#REF!,11,0)</f>
        <v>#REF!</v>
      </c>
      <c r="H67" s="137" t="e">
        <f>VLOOKUP(B67,База!$A$4:$AI$177,35,FALSE)</f>
        <v>#N/A</v>
      </c>
    </row>
    <row r="68" spans="2:8" x14ac:dyDescent="0.25">
      <c r="B68" s="144"/>
      <c r="C68" s="64" t="e">
        <f>VLOOKUP(Преглед!B68,База!$A$4:$AL$177,15,0)</f>
        <v>#N/A</v>
      </c>
      <c r="D68" s="56" t="e">
        <f>VLOOKUP(Преглед!B68,База!$A$4:$AL$177,24,0)</f>
        <v>#N/A</v>
      </c>
      <c r="E68" s="184" t="e">
        <f>VLOOKUP(B68,База!$A$4:$AP$177,42,0)</f>
        <v>#N/A</v>
      </c>
      <c r="F68" s="64" t="e">
        <f>VLOOKUP(B68,#REF!,5,0)</f>
        <v>#REF!</v>
      </c>
      <c r="G68" s="56" t="e">
        <f>VLOOKUP(B68,#REF!,11,0)</f>
        <v>#REF!</v>
      </c>
      <c r="H68" s="137" t="e">
        <f>VLOOKUP(B68,База!$A$4:$AI$177,35,FALSE)</f>
        <v>#N/A</v>
      </c>
    </row>
    <row r="69" spans="2:8" x14ac:dyDescent="0.25">
      <c r="B69" s="144"/>
      <c r="C69" s="56" t="e">
        <f>VLOOKUP(Преглед!B69,База!$A$4:$AL$177,15,0)</f>
        <v>#N/A</v>
      </c>
      <c r="D69" s="56" t="e">
        <f>VLOOKUP(Преглед!B69,База!$A$4:$AL$177,24,0)</f>
        <v>#N/A</v>
      </c>
      <c r="E69" s="184" t="e">
        <f>VLOOKUP(B69,База!$A$4:$AP$177,42,0)</f>
        <v>#N/A</v>
      </c>
      <c r="F69" s="64" t="e">
        <f>VLOOKUP(B69,#REF!,5,0)</f>
        <v>#REF!</v>
      </c>
      <c r="G69" s="56" t="e">
        <f>VLOOKUP(B69,#REF!,11,0)</f>
        <v>#REF!</v>
      </c>
      <c r="H69" s="137" t="e">
        <f>VLOOKUP(B69,База!$A$4:$AI$177,35,FALSE)</f>
        <v>#N/A</v>
      </c>
    </row>
    <row r="70" spans="2:8" x14ac:dyDescent="0.25">
      <c r="B70" s="144"/>
      <c r="C70" s="56" t="e">
        <f>VLOOKUP(Преглед!B70,База!$A$4:$AL$177,15,0)</f>
        <v>#N/A</v>
      </c>
      <c r="D70" s="64" t="e">
        <f>VLOOKUP(Преглед!B70,База!$A$4:$AL$177,24,0)</f>
        <v>#N/A</v>
      </c>
      <c r="E70" s="184" t="e">
        <f>VLOOKUP(B70,База!$A$4:$AP$177,42,0)</f>
        <v>#N/A</v>
      </c>
      <c r="F70" s="64" t="e">
        <f>VLOOKUP(B70,#REF!,5,0)</f>
        <v>#REF!</v>
      </c>
      <c r="G70" s="64" t="e">
        <f>VLOOKUP(B70,#REF!,11,0)</f>
        <v>#REF!</v>
      </c>
      <c r="H70" s="137" t="e">
        <f>VLOOKUP(B70,База!$A$4:$AI$177,35,FALSE)</f>
        <v>#N/A</v>
      </c>
    </row>
    <row r="71" spans="2:8" x14ac:dyDescent="0.25">
      <c r="B71" s="144"/>
      <c r="C71" s="56" t="e">
        <f>VLOOKUP(Преглед!B71,База!$A$4:$AL$177,15,0)</f>
        <v>#N/A</v>
      </c>
      <c r="D71" s="71" t="e">
        <f>VLOOKUP(Преглед!B71,База!$A$4:$AL$177,24,0)</f>
        <v>#N/A</v>
      </c>
      <c r="E71" s="184" t="e">
        <f>VLOOKUP(B71,База!$A$4:$AP$177,42,0)</f>
        <v>#N/A</v>
      </c>
      <c r="F71" s="64" t="e">
        <f>VLOOKUP(B71,#REF!,5,0)</f>
        <v>#REF!</v>
      </c>
      <c r="G71" s="71" t="e">
        <f>VLOOKUP(B71,#REF!,11,0)</f>
        <v>#REF!</v>
      </c>
      <c r="H71" s="137" t="e">
        <f>VLOOKUP(B71,База!$A$4:$AI$177,35,FALSE)</f>
        <v>#N/A</v>
      </c>
    </row>
    <row r="72" spans="2:8" x14ac:dyDescent="0.25">
      <c r="B72" s="145"/>
      <c r="C72" s="58" t="e">
        <f>VLOOKUP(Преглед!B72,База!$A$4:$AL$177,15,0)</f>
        <v>#N/A</v>
      </c>
      <c r="D72" s="58" t="e">
        <f>VLOOKUP(Преглед!B72,База!$A$4:$AL$177,24,0)</f>
        <v>#N/A</v>
      </c>
      <c r="E72" s="185" t="e">
        <f>VLOOKUP(B72,База!$A$4:$AP$177,42,0)</f>
        <v>#N/A</v>
      </c>
      <c r="F72" s="75" t="e">
        <f>VLOOKUP(B72,#REF!,5,0)</f>
        <v>#REF!</v>
      </c>
      <c r="G72" s="58" t="e">
        <f>VLOOKUP(B72,#REF!,11,0)</f>
        <v>#REF!</v>
      </c>
      <c r="H72" s="140" t="e">
        <f>VLOOKUP(B72,База!$A$4:$AI$177,35,FALSE)</f>
        <v>#N/A</v>
      </c>
    </row>
    <row r="75" spans="2:8" x14ac:dyDescent="0.25">
      <c r="B75" s="186" t="s">
        <v>492</v>
      </c>
      <c r="C75" s="50"/>
      <c r="D75" s="50"/>
      <c r="E75" s="50"/>
      <c r="F75" s="156"/>
      <c r="G75" s="157"/>
      <c r="H75" s="157"/>
    </row>
    <row r="76" spans="2:8" ht="90" x14ac:dyDescent="0.25">
      <c r="B76" s="153" t="s">
        <v>249</v>
      </c>
      <c r="C76" s="47" t="s">
        <v>247</v>
      </c>
      <c r="D76" s="47" t="s">
        <v>250</v>
      </c>
      <c r="E76" s="72" t="s">
        <v>413</v>
      </c>
      <c r="F76" s="72" t="s">
        <v>490</v>
      </c>
      <c r="G76" s="66" t="s">
        <v>569</v>
      </c>
      <c r="H76" s="66" t="s">
        <v>570</v>
      </c>
    </row>
    <row r="77" spans="2:8" x14ac:dyDescent="0.25">
      <c r="B77" s="138" t="s">
        <v>316</v>
      </c>
      <c r="C77" s="33">
        <f>VLOOKUP(Преглед!B77,База!$A$4:$AL$177,15,0)</f>
        <v>100</v>
      </c>
      <c r="D77" s="33">
        <f>VLOOKUP(Преглед!B77,База!$A$4:$AL$177,24,0)</f>
        <v>100</v>
      </c>
      <c r="E77" s="33">
        <f>VLOOKUP(Преглед!B77,База!$A$4:$AL$177,33,0)</f>
        <v>100</v>
      </c>
      <c r="F77" s="184">
        <f>VLOOKUP(B77,База!$A$4:$AP$177,42,0)</f>
        <v>43137</v>
      </c>
      <c r="G77" s="37" t="str">
        <f>IFERROR(VLOOKUP(B77,База!$A$4:$AH$177,34,FALSE),"")</f>
        <v>Архивиране су старе књиге и завршили смо препис из МК у електронски облик.</v>
      </c>
      <c r="H77" s="160" t="str">
        <f>VLOOKUP(B77,База!$A$4:$AI$177,35,FALSE)</f>
        <v>Завршили смо препис из МК у електронски облик. за период од 1916.г. до 1945.г. у МКВ постојало је неслагање у броју уписа и преписа /21/. Прегледом и коначним пребројавањем утврђен је исти број недостајућих преписа који је извршен са 30.09.2019.г. те је проценат преписа из МК сада 100%. /18677 уписа и 18677 преписа/.</v>
      </c>
    </row>
    <row r="78" spans="2:8" x14ac:dyDescent="0.25">
      <c r="B78" s="138" t="s">
        <v>169</v>
      </c>
      <c r="C78" s="33">
        <f>VLOOKUP(Преглед!B78,База!$A$4:$AL$177,15,0)</f>
        <v>94.461023925906872</v>
      </c>
      <c r="D78" s="33">
        <f>VLOOKUP(Преглед!B78,База!$A$4:$AL$177,24,0)</f>
        <v>100</v>
      </c>
      <c r="E78" s="33">
        <f>VLOOKUP(Преглед!B78,База!$A$4:$AL$177,33,0)</f>
        <v>94.284661261140528</v>
      </c>
      <c r="F78" s="184">
        <f>VLOOKUP(B78,База!$A$4:$AP$177,42,0)</f>
        <v>43281</v>
      </c>
      <c r="G78" s="37" t="str">
        <f>IFERROR(VLOOKUP(B78,База!$A$4:$AH$177,34,FALSE),"")</f>
        <v>Процес архивирања ће се наставити после извршеног преписа зато што су верске књиге физички неодвојиве, односно године које се могу архивирати су заједно са оним које треба преписати</v>
      </c>
      <c r="H78" s="160" t="str">
        <f>VLOOKUP(B78,База!$A$4:$AI$177,35,FALSE)</f>
        <v>Успорена је активност на упису из папирног у електронски облик због већег ангажовања матичара на шалтерима као и због одсуства једног броја матичара услед болести и одмора.</v>
      </c>
    </row>
    <row r="79" spans="2:8" x14ac:dyDescent="0.25">
      <c r="B79" s="138" t="s">
        <v>170</v>
      </c>
      <c r="C79" s="33">
        <f>VLOOKUP(Преглед!B79,База!$A$4:$AL$177,15,0)</f>
        <v>92.570305990931331</v>
      </c>
      <c r="D79" s="33">
        <f>VLOOKUP(Преглед!B79,База!$A$4:$AL$177,24,0)</f>
        <v>95.129857440738235</v>
      </c>
      <c r="E79" s="33">
        <f>VLOOKUP(Преглед!B79,База!$A$4:$AL$177,33,0)</f>
        <v>92.48028476173765</v>
      </c>
      <c r="F79" s="184">
        <f>VLOOKUP(B79,База!$A$4:$AP$177,42,0)</f>
        <v>43252</v>
      </c>
      <c r="G79" s="37" t="str">
        <f>IFERROR(VLOOKUP(B79,База!$A$4:$AH$177,34,FALSE),"")</f>
        <v>МАТИЧНЕ КЊИГЕ ДО 1916. ГОДИНЕ СУ АРХИВИРАНЕ И НАЛАЗЕ СЕ У АРХИВУ ГРАДА НОВОГ САДА .</v>
      </c>
      <c r="H79" s="160" t="str">
        <f>VLOOKUP(B79,База!$A$4:$AI$177,35,FALSE)</f>
        <v>У ПЕРИОДУ ОД 1895.Г. ДО 1916.Г. БИЛО ЈЕ УКУПНО 267715 УПИСА У ПАПИРНОМ ОБЛИКУ, ОД ЧЕГА ЈЕ У ЕЛЕКТРОНСКИ ОБЛИК УНЕТО 12084 У ПИСА, И СВЕ ЈЕ ТО КОМПЛЕТНО ПРЕДАТО АРХИВУ ГРАДА НОВОГ САДА</v>
      </c>
    </row>
    <row r="80" spans="2:8" x14ac:dyDescent="0.25">
      <c r="B80" s="138" t="s">
        <v>207</v>
      </c>
      <c r="C80" s="33">
        <f>VLOOKUP(Преглед!B80,База!$A$4:$AL$177,15,0)</f>
        <v>90.218208489960574</v>
      </c>
      <c r="D80" s="33">
        <f>VLOOKUP(Преглед!B80,База!$A$4:$AL$177,24,0)</f>
        <v>100</v>
      </c>
      <c r="E80" s="33">
        <f>VLOOKUP(Преглед!B80,База!$A$4:$AL$177,33,0)</f>
        <v>92.508372734436563</v>
      </c>
      <c r="F80" s="184">
        <f>VLOOKUP(B80,База!$A$4:$AP$177,42,0)</f>
        <v>43465</v>
      </c>
      <c r="G80" s="37" t="str">
        <f>IFERROR(VLOOKUP(B80,База!$A$4:$AH$177,34,FALSE),"")</f>
        <v>КЊИГЕ СУ АРХИВИРАНЕ 30.06.2017.Г. И 30.04.2019..</v>
      </c>
      <c r="H80" s="160">
        <f>VLOOKUP(B80,База!$A$4:$AI$177,35,FALSE)</f>
        <v>0</v>
      </c>
    </row>
    <row r="81" spans="2:8" x14ac:dyDescent="0.25">
      <c r="B81" s="138" t="s">
        <v>202</v>
      </c>
      <c r="C81" s="33">
        <f>VLOOKUP(Преглед!B81,База!$A$4:$AL$177,15,0)</f>
        <v>93.543388080205176</v>
      </c>
      <c r="D81" s="33">
        <f>VLOOKUP(Преглед!B81,База!$A$4:$AL$177,24,0)</f>
        <v>100</v>
      </c>
      <c r="E81" s="33">
        <f>VLOOKUP(Преглед!B81,База!$A$4:$AL$177,33,0)</f>
        <v>93.463098468031461</v>
      </c>
      <c r="F81" s="184">
        <f>VLOOKUP(B81,База!$A$4:$AP$177,42,0)</f>
        <v>43465</v>
      </c>
      <c r="G81" s="37" t="str">
        <f>IFERROR(VLOOKUP(B81,База!$A$4:$AH$177,34,FALSE),"")</f>
        <v>-</v>
      </c>
      <c r="H81" s="160" t="str">
        <f>VLOOKUP(B81,База!$A$4:$AI$177,35,FALSE)</f>
        <v>Од 1916.г до 1946.г одрађено 240 преписа из папирног у електронски облик за период од 31.08 до 07.09.2020.г</v>
      </c>
    </row>
    <row r="82" spans="2:8" x14ac:dyDescent="0.25">
      <c r="B82" s="138"/>
      <c r="C82" s="64"/>
      <c r="D82" s="56"/>
      <c r="E82" s="56"/>
      <c r="F82" s="184" t="e">
        <f>VLOOKUP(B82,База!$A$4:$AP$177,42,0)</f>
        <v>#N/A</v>
      </c>
      <c r="G82" s="37" t="str">
        <f>IFERROR(VLOOKUP(B82,База!$A$4:$AH$177,34,FALSE),"")</f>
        <v/>
      </c>
      <c r="H82" s="160" t="e">
        <f>VLOOKUP(B82,База!$A$4:$AI$177,35,FALSE)</f>
        <v>#N/A</v>
      </c>
    </row>
    <row r="83" spans="2:8" x14ac:dyDescent="0.25">
      <c r="B83" s="138"/>
      <c r="C83" s="64" t="e">
        <f>VLOOKUP(Преглед!B83,База!$A$4:$AL$177,15,0)</f>
        <v>#N/A</v>
      </c>
      <c r="D83" s="56" t="e">
        <f>VLOOKUP(Преглед!B83,База!$A$4:$AL$177,24,0)</f>
        <v>#N/A</v>
      </c>
      <c r="E83" s="56" t="e">
        <f>VLOOKUP(Преглед!B83,База!$A$4:$AL$177,33,0)</f>
        <v>#N/A</v>
      </c>
      <c r="F83" s="184" t="e">
        <f>VLOOKUP(B83,База!$A$4:$AP$177,42,0)</f>
        <v>#N/A</v>
      </c>
      <c r="G83" s="37" t="str">
        <f>IFERROR(VLOOKUP(B83,База!$A$4:$AH$177,34,FALSE),"")</f>
        <v/>
      </c>
      <c r="H83" s="160" t="e">
        <f>VLOOKUP(B83,База!$A$4:$AI$177,35,FALSE)</f>
        <v>#N/A</v>
      </c>
    </row>
    <row r="84" spans="2:8" x14ac:dyDescent="0.25">
      <c r="B84" s="138"/>
      <c r="C84" s="64" t="e">
        <f>VLOOKUP(Преглед!B84,База!$A$4:$AL$177,15,0)</f>
        <v>#N/A</v>
      </c>
      <c r="D84" s="56" t="e">
        <f>VLOOKUP(Преглед!B84,База!$A$4:$AL$177,24,0)</f>
        <v>#N/A</v>
      </c>
      <c r="E84" s="56" t="e">
        <f>VLOOKUP(Преглед!B84,База!$A$4:$AL$177,33,0)</f>
        <v>#N/A</v>
      </c>
      <c r="F84" s="184" t="e">
        <f>VLOOKUP(B84,База!$A$4:$AP$177,42,0)</f>
        <v>#N/A</v>
      </c>
      <c r="G84" s="37" t="str">
        <f>IFERROR(VLOOKUP(B84,База!$A$4:$AH$177,34,FALSE),"")</f>
        <v/>
      </c>
      <c r="H84" s="160" t="e">
        <f>VLOOKUP(B84,База!$A$4:$AI$177,35,FALSE)</f>
        <v>#N/A</v>
      </c>
    </row>
    <row r="85" spans="2:8" x14ac:dyDescent="0.25">
      <c r="B85" s="138"/>
      <c r="C85" s="64" t="e">
        <f>VLOOKUP(Преглед!B85,База!$A$4:$AL$177,15,0)</f>
        <v>#N/A</v>
      </c>
      <c r="D85" s="56" t="e">
        <f>VLOOKUP(Преглед!B85,База!$A$4:$AL$177,24,0)</f>
        <v>#N/A</v>
      </c>
      <c r="E85" s="56" t="e">
        <f>VLOOKUP(Преглед!B85,База!$A$4:$AL$177,33,0)</f>
        <v>#N/A</v>
      </c>
      <c r="F85" s="184" t="e">
        <f>VLOOKUP(B85,База!$A$4:$AP$177,42,0)</f>
        <v>#N/A</v>
      </c>
      <c r="G85" s="37" t="str">
        <f>IFERROR(VLOOKUP(B85,База!$A$4:$AH$177,34,FALSE),"")</f>
        <v/>
      </c>
      <c r="H85" s="160" t="e">
        <f>VLOOKUP(B85,База!$A$4:$AI$177,35,FALSE)</f>
        <v>#N/A</v>
      </c>
    </row>
    <row r="86" spans="2:8" x14ac:dyDescent="0.25">
      <c r="B86" s="138"/>
      <c r="C86" s="64" t="e">
        <f>VLOOKUP(Преглед!B86,База!$A$4:$AL$177,15,0)</f>
        <v>#N/A</v>
      </c>
      <c r="D86" s="56" t="e">
        <f>VLOOKUP(Преглед!B86,База!$A$4:$AL$177,24,0)</f>
        <v>#N/A</v>
      </c>
      <c r="E86" s="56" t="e">
        <f>VLOOKUP(Преглед!B86,База!$A$4:$AL$177,33,0)</f>
        <v>#N/A</v>
      </c>
      <c r="F86" s="184" t="e">
        <f>VLOOKUP(B86,База!$A$4:$AP$177,42,0)</f>
        <v>#N/A</v>
      </c>
      <c r="G86" s="37" t="str">
        <f>IFERROR(VLOOKUP(B86,База!$A$4:$AH$177,34,FALSE),"")</f>
        <v/>
      </c>
      <c r="H86" s="160" t="e">
        <f>VLOOKUP(B86,База!$A$4:$AI$177,35,FALSE)</f>
        <v>#N/A</v>
      </c>
    </row>
    <row r="87" spans="2:8" x14ac:dyDescent="0.25">
      <c r="B87" s="138"/>
      <c r="C87" s="64" t="e">
        <f>VLOOKUP(Преглед!B87,База!$A$4:$AL$177,15,0)</f>
        <v>#N/A</v>
      </c>
      <c r="D87" s="56" t="e">
        <f>VLOOKUP(Преглед!B87,База!$A$4:$AL$177,24,0)</f>
        <v>#N/A</v>
      </c>
      <c r="E87" s="56" t="e">
        <f>VLOOKUP(Преглед!B87,База!$A$4:$AL$177,33,0)</f>
        <v>#N/A</v>
      </c>
      <c r="F87" s="184" t="e">
        <f>VLOOKUP(B87,База!$A$4:$AP$177,42,0)</f>
        <v>#N/A</v>
      </c>
      <c r="G87" s="37" t="str">
        <f>IFERROR(VLOOKUP(B87,База!$A$4:$AH$177,34,FALSE),"")</f>
        <v/>
      </c>
      <c r="H87" s="160" t="e">
        <f>VLOOKUP(B87,База!$A$4:$AI$177,35,FALSE)</f>
        <v>#N/A</v>
      </c>
    </row>
    <row r="88" spans="2:8" x14ac:dyDescent="0.25">
      <c r="B88" s="138"/>
      <c r="C88" s="64" t="e">
        <f>VLOOKUP(Преглед!B88,База!$A$4:$AL$177,15,0)</f>
        <v>#N/A</v>
      </c>
      <c r="D88" s="56" t="e">
        <f>VLOOKUP(Преглед!B88,База!$A$4:$AL$177,24,0)</f>
        <v>#N/A</v>
      </c>
      <c r="E88" s="56" t="e">
        <f>VLOOKUP(Преглед!B88,База!$A$4:$AL$177,33,0)</f>
        <v>#N/A</v>
      </c>
      <c r="F88" s="184" t="e">
        <f>VLOOKUP(B88,База!$A$4:$AP$177,42,0)</f>
        <v>#N/A</v>
      </c>
      <c r="G88" s="37" t="str">
        <f>IFERROR(VLOOKUP(B88,База!$A$4:$AH$177,34,FALSE),"")</f>
        <v/>
      </c>
      <c r="H88" s="160" t="e">
        <f>VLOOKUP(B88,База!$A$4:$AI$177,35,FALSE)</f>
        <v>#N/A</v>
      </c>
    </row>
    <row r="89" spans="2:8" x14ac:dyDescent="0.25">
      <c r="B89" s="138"/>
      <c r="C89" s="64" t="e">
        <f>VLOOKUP(Преглед!B89,База!$A$4:$AL$177,15,0)</f>
        <v>#N/A</v>
      </c>
      <c r="D89" s="56" t="e">
        <f>VLOOKUP(Преглед!B89,База!$A$4:$AL$177,24,0)</f>
        <v>#N/A</v>
      </c>
      <c r="E89" s="56" t="e">
        <f>VLOOKUP(Преглед!B89,База!$A$4:$AL$177,33,0)</f>
        <v>#N/A</v>
      </c>
      <c r="F89" s="184" t="e">
        <f>VLOOKUP(B89,База!$A$4:$AP$177,42,0)</f>
        <v>#N/A</v>
      </c>
      <c r="G89" s="37" t="str">
        <f>IFERROR(VLOOKUP(B89,База!$A$4:$AH$177,34,FALSE),"")</f>
        <v/>
      </c>
      <c r="H89" s="160" t="e">
        <f>VLOOKUP(B89,База!$A$4:$AI$177,35,FALSE)</f>
        <v>#N/A</v>
      </c>
    </row>
    <row r="90" spans="2:8" x14ac:dyDescent="0.25">
      <c r="B90" s="138"/>
      <c r="C90" s="64" t="e">
        <f>VLOOKUP(Преглед!B90,База!$A$4:$AL$177,15,0)</f>
        <v>#N/A</v>
      </c>
      <c r="D90" s="56" t="e">
        <f>VLOOKUP(Преглед!B90,База!$A$4:$AL$177,24,0)</f>
        <v>#N/A</v>
      </c>
      <c r="E90" s="56" t="e">
        <f>VLOOKUP(Преглед!B90,База!$A$4:$AL$177,33,0)</f>
        <v>#N/A</v>
      </c>
      <c r="F90" s="184" t="e">
        <f>VLOOKUP(B90,База!$A$4:$AP$177,42,0)</f>
        <v>#N/A</v>
      </c>
      <c r="G90" s="37" t="str">
        <f>IFERROR(VLOOKUP(B90,База!$A$4:$AH$177,34,FALSE),"")</f>
        <v/>
      </c>
      <c r="H90" s="160" t="e">
        <f>VLOOKUP(B90,База!$A$4:$AI$177,35,FALSE)</f>
        <v>#N/A</v>
      </c>
    </row>
    <row r="91" spans="2:8" x14ac:dyDescent="0.25">
      <c r="B91" s="138"/>
      <c r="C91" s="64" t="e">
        <f>VLOOKUP(Преглед!B91,База!$A$4:$AL$177,15,0)</f>
        <v>#N/A</v>
      </c>
      <c r="D91" s="56" t="e">
        <f>VLOOKUP(Преглед!B91,База!$A$4:$AL$177,24,0)</f>
        <v>#N/A</v>
      </c>
      <c r="E91" s="56" t="e">
        <f>VLOOKUP(Преглед!B91,База!$A$4:$AL$177,33,0)</f>
        <v>#N/A</v>
      </c>
      <c r="F91" s="184" t="e">
        <f>VLOOKUP(B91,База!$A$4:$AP$177,42,0)</f>
        <v>#N/A</v>
      </c>
      <c r="G91" s="37" t="str">
        <f>IFERROR(VLOOKUP(B91,База!$A$4:$AH$177,34,FALSE),"")</f>
        <v/>
      </c>
      <c r="H91" s="160" t="e">
        <f>VLOOKUP(B91,База!$A$4:$AI$177,35,FALSE)</f>
        <v>#N/A</v>
      </c>
    </row>
    <row r="92" spans="2:8" x14ac:dyDescent="0.25">
      <c r="B92" s="138"/>
      <c r="C92" s="64" t="e">
        <f>VLOOKUP(Преглед!B92,База!$A$4:$AL$177,15,0)</f>
        <v>#N/A</v>
      </c>
      <c r="D92" s="56" t="e">
        <f>VLOOKUP(Преглед!B92,База!$A$4:$AL$177,24,0)</f>
        <v>#N/A</v>
      </c>
      <c r="E92" s="56" t="e">
        <f>VLOOKUP(Преглед!B92,База!$A$4:$AL$177,33,0)</f>
        <v>#N/A</v>
      </c>
      <c r="F92" s="184" t="e">
        <f>VLOOKUP(B92,База!$A$4:$AP$177,42,0)</f>
        <v>#N/A</v>
      </c>
      <c r="G92" s="37" t="str">
        <f>IFERROR(VLOOKUP(B92,База!$A$4:$AH$177,34,FALSE),"")</f>
        <v/>
      </c>
      <c r="H92" s="160" t="e">
        <f>VLOOKUP(B92,База!$A$4:$AI$177,35,FALSE)</f>
        <v>#N/A</v>
      </c>
    </row>
    <row r="93" spans="2:8" x14ac:dyDescent="0.25">
      <c r="B93" s="138"/>
      <c r="C93" s="64" t="e">
        <f>VLOOKUP(Преглед!B93,База!$A$4:$AL$177,15,0)</f>
        <v>#N/A</v>
      </c>
      <c r="D93" s="56" t="e">
        <f>VLOOKUP(Преглед!B93,База!$A$4:$AL$177,24,0)</f>
        <v>#N/A</v>
      </c>
      <c r="E93" s="56" t="e">
        <f>VLOOKUP(Преглед!B93,База!$A$4:$AL$177,33,0)</f>
        <v>#N/A</v>
      </c>
      <c r="F93" s="184" t="e">
        <f>VLOOKUP(B93,База!$A$4:$AP$177,42,0)</f>
        <v>#N/A</v>
      </c>
      <c r="G93" s="37" t="str">
        <f>IFERROR(VLOOKUP(B93,База!$A$4:$AH$177,34,FALSE),"")</f>
        <v/>
      </c>
      <c r="H93" s="160" t="e">
        <f>VLOOKUP(B93,База!$A$4:$AI$177,35,FALSE)</f>
        <v>#N/A</v>
      </c>
    </row>
    <row r="94" spans="2:8" x14ac:dyDescent="0.25">
      <c r="B94" s="138"/>
      <c r="C94" s="64" t="e">
        <f>VLOOKUP(Преглед!B94,База!$A$4:$AL$177,15,0)</f>
        <v>#N/A</v>
      </c>
      <c r="D94" s="56" t="e">
        <f>VLOOKUP(Преглед!B94,База!$A$4:$AL$177,24,0)</f>
        <v>#N/A</v>
      </c>
      <c r="E94" s="56" t="e">
        <f>VLOOKUP(Преглед!B94,База!$A$4:$AL$177,33,0)</f>
        <v>#N/A</v>
      </c>
      <c r="F94" s="184" t="e">
        <f>VLOOKUP(B94,База!$A$4:$AP$177,42,0)</f>
        <v>#N/A</v>
      </c>
      <c r="G94" s="37" t="str">
        <f>IFERROR(VLOOKUP(B94,База!$A$4:$AH$177,34,FALSE),"")</f>
        <v/>
      </c>
      <c r="H94" s="160" t="e">
        <f>VLOOKUP(B94,База!$A$4:$AI$177,35,FALSE)</f>
        <v>#N/A</v>
      </c>
    </row>
    <row r="95" spans="2:8" x14ac:dyDescent="0.25">
      <c r="B95" s="138"/>
      <c r="C95" s="64" t="e">
        <f>VLOOKUP(Преглед!B95,База!$A$4:$AL$177,15,0)</f>
        <v>#N/A</v>
      </c>
      <c r="D95" s="56" t="e">
        <f>VLOOKUP(Преглед!B95,База!$A$4:$AL$177,24,0)</f>
        <v>#N/A</v>
      </c>
      <c r="E95" s="56" t="e">
        <f>VLOOKUP(Преглед!B95,База!$A$4:$AL$177,33,0)</f>
        <v>#N/A</v>
      </c>
      <c r="F95" s="184" t="e">
        <f>VLOOKUP(B95,База!$A$4:$AP$177,42,0)</f>
        <v>#N/A</v>
      </c>
      <c r="G95" s="37" t="str">
        <f>IFERROR(VLOOKUP(B95,База!$A$4:$AH$177,34,FALSE),"")</f>
        <v/>
      </c>
      <c r="H95" s="160" t="e">
        <f>VLOOKUP(B95,База!$A$4:$AI$177,35,FALSE)</f>
        <v>#N/A</v>
      </c>
    </row>
    <row r="96" spans="2:8" x14ac:dyDescent="0.25">
      <c r="B96" s="139"/>
      <c r="C96" s="75" t="e">
        <f>VLOOKUP(Преглед!B96,База!$A$4:$AL$177,15,0)</f>
        <v>#N/A</v>
      </c>
      <c r="D96" s="58" t="e">
        <f>VLOOKUP(Преглед!B96,База!$A$4:$AL$177,24,0)</f>
        <v>#N/A</v>
      </c>
      <c r="E96" s="58" t="e">
        <f>VLOOKUP(Преглед!B96,База!$A$4:$AL$177,33,0)</f>
        <v>#N/A</v>
      </c>
      <c r="F96" s="185" t="e">
        <f>VLOOKUP(B96,База!$A$4:$AP$177,42,0)</f>
        <v>#N/A</v>
      </c>
      <c r="G96" s="65" t="str">
        <f>IFERROR(VLOOKUP(B96,База!$A$4:$AH$177,34,FALSE),"")</f>
        <v/>
      </c>
      <c r="H96" s="165" t="e">
        <f>VLOOKUP(B96,База!$A$4:$AI$177,35,FALSE)</f>
        <v>#N/A</v>
      </c>
    </row>
    <row r="99" spans="2:8" x14ac:dyDescent="0.25">
      <c r="B99" s="178" t="s">
        <v>453</v>
      </c>
      <c r="C99" s="50"/>
      <c r="D99" s="50"/>
      <c r="E99" s="50"/>
      <c r="F99" s="156"/>
      <c r="G99" s="157"/>
      <c r="H99" s="157"/>
    </row>
    <row r="100" spans="2:8" ht="90" x14ac:dyDescent="0.25">
      <c r="B100" s="153" t="s">
        <v>249</v>
      </c>
      <c r="C100" s="47" t="s">
        <v>247</v>
      </c>
      <c r="D100" s="47" t="s">
        <v>250</v>
      </c>
      <c r="E100" s="72" t="s">
        <v>413</v>
      </c>
      <c r="F100" s="72" t="s">
        <v>490</v>
      </c>
      <c r="G100" s="66" t="s">
        <v>569</v>
      </c>
      <c r="H100" s="66" t="s">
        <v>570</v>
      </c>
    </row>
    <row r="101" spans="2:8" x14ac:dyDescent="0.25">
      <c r="B101" s="31" t="s">
        <v>89</v>
      </c>
      <c r="C101" s="33">
        <f>VLOOKUP(Преглед!B101,База!$A$4:$AL$177,15,0)</f>
        <v>100</v>
      </c>
      <c r="D101" s="33">
        <f>VLOOKUP(Преглед!B101,База!$A$4:$AL$177,24,0)</f>
        <v>100</v>
      </c>
      <c r="E101" s="33">
        <f>VLOOKUP(Преглед!B101,База!$A$4:$AL$177,33,0)</f>
        <v>100</v>
      </c>
      <c r="F101" s="184">
        <f>VLOOKUP(B101,База!$A$4:$AP$177,42,0)</f>
        <v>43830</v>
      </c>
      <c r="G101" s="37" t="str">
        <f>IFERROR(VLOOKUP(B101,База!$A$4:$AH$177,34,FALSE),"")</f>
        <v>У недељном упитнику приказан је број уписи за све матичне књиге општине Урошевац.</v>
      </c>
      <c r="H101" s="160" t="str">
        <f>VLOOKUP(B101,База!$A$4:$AI$177,35,FALSE)</f>
        <v>У потпуности је извршен препис матичних књига општине Урошевац.У претходно достављеним извештајима погрешно је уписивано да у матичним књигама (у папирном облику) општине Урошевац има укупно 12 591 упис од 1916. до 1946.године и 253 726 уписа од 1946. до 2019. године. Поновном провером је уврђено да у наведеним матичним књигама има укупан 17 802 уписа  од 1916. до 1946. године и 180 402 упис од 1946. до 2019. године.</v>
      </c>
    </row>
    <row r="102" spans="2:8" x14ac:dyDescent="0.25">
      <c r="B102" s="31" t="s">
        <v>24</v>
      </c>
      <c r="C102" s="33">
        <f>VLOOKUP(Преглед!B102,База!$A$4:$AL$177,15,0)</f>
        <v>100</v>
      </c>
      <c r="D102" s="33">
        <f>VLOOKUP(Преглед!B102,База!$A$4:$AL$177,24,0)</f>
        <v>100</v>
      </c>
      <c r="E102" s="33">
        <f>VLOOKUP(Преглед!B102,База!$A$4:$AL$177,33,0)</f>
        <v>100</v>
      </c>
      <c r="F102" s="184">
        <f>VLOOKUP(B102,База!$A$4:$AP$177,42,0)</f>
        <v>43646</v>
      </c>
      <c r="G102" s="37" t="str">
        <f>IFERROR(VLOOKUP(B102,База!$A$4:$AH$177,34,FALSE),"")</f>
        <v>процес ажурирања завршен 19.04.2021</v>
      </c>
      <c r="H102" s="160" t="str">
        <f>VLOOKUP(B102,База!$A$4:$AI$177,35,FALSE)</f>
        <v>/</v>
      </c>
    </row>
    <row r="103" spans="2:8" x14ac:dyDescent="0.25">
      <c r="B103" s="31" t="s">
        <v>31</v>
      </c>
      <c r="C103" s="33">
        <f>VLOOKUP(Преглед!B103,База!$A$4:$AL$177,15,0)</f>
        <v>97.245477119545939</v>
      </c>
      <c r="D103" s="33">
        <f>VLOOKUP(Преглед!B103,База!$A$4:$AL$177,24,0)</f>
        <v>97.915588026616035</v>
      </c>
      <c r="E103" s="33">
        <f>VLOOKUP(Преглед!B103,База!$A$4:$AL$177,33,0)</f>
        <v>97.245477119545939</v>
      </c>
      <c r="F103" s="184">
        <f>VLOOKUP(B103,База!$A$4:$AP$177,42,0)</f>
        <v>43646</v>
      </c>
      <c r="G103" s="37" t="str">
        <f>IFERROR(VLOOKUP(B103,База!$A$4:$AH$177,34,FALSE),"")</f>
        <v>/</v>
      </c>
      <c r="H103" s="160" t="str">
        <f>VLOOKUP(B103,База!$A$4:$AI$177,35,FALSE)</f>
        <v>До повећања укупног броја уписа од 1916 до 1946 дошло је јер нису биле урачунаре верске (муслиманске) МК, до повећања укупног броја уписа од 1946 до 2020 дошло је због погрешно утврђеног (пребројаног) укупног броја уписа и делом због дуплих уписа.</v>
      </c>
    </row>
    <row r="104" spans="2:8" x14ac:dyDescent="0.25">
      <c r="B104" s="31" t="s">
        <v>32</v>
      </c>
      <c r="C104" s="33">
        <f>VLOOKUP(Преглед!B104,База!$A$4:$AL$177,15,0)</f>
        <v>30.786308973172989</v>
      </c>
      <c r="D104" s="33">
        <f>VLOOKUP(Преглед!B104,База!$A$4:$AL$177,24,0)</f>
        <v>28.365103941924513</v>
      </c>
      <c r="E104" s="33">
        <f>VLOOKUP(Преглед!B104,База!$A$4:$AL$177,33,0)</f>
        <v>30.786308973172989</v>
      </c>
      <c r="F104" s="184">
        <f>VLOOKUP(B104,База!$A$4:$AP$177,42,0)</f>
        <v>43646</v>
      </c>
      <c r="G104" s="37" t="str">
        <f>IFERROR(VLOOKUP(B104,База!$A$4:$AH$177,34,FALSE),"")</f>
        <v>/</v>
      </c>
      <c r="H104" s="160" t="str">
        <f>VLOOKUP(B104,База!$A$4:$AI$177,35,FALSE)</f>
        <v>/</v>
      </c>
    </row>
    <row r="105" spans="2:8" x14ac:dyDescent="0.25">
      <c r="B105" s="31" t="s">
        <v>23</v>
      </c>
      <c r="C105" s="33">
        <f>VLOOKUP(Преглед!B105,База!$A$4:$AL$177,15,0)</f>
        <v>12.900923361498288</v>
      </c>
      <c r="D105" s="33">
        <f>VLOOKUP(Преглед!B105,База!$A$4:$AL$177,24,0)</f>
        <v>11.093363920437795</v>
      </c>
      <c r="E105" s="33">
        <f>VLOOKUP(Преглед!B105,База!$A$4:$AL$177,33,0)</f>
        <v>12.900923361498288</v>
      </c>
      <c r="F105" s="184">
        <f>VLOOKUP(B105,База!$A$4:$AP$177,42,0)</f>
        <v>43646</v>
      </c>
      <c r="G105" s="37" t="str">
        <f>IFERROR(VLOOKUP(B105,База!$A$4:$AH$177,34,FALSE),"")</f>
        <v>/</v>
      </c>
      <c r="H105" s="160" t="str">
        <f>VLOOKUP(B105,База!$A$4:$AI$177,35,FALSE)</f>
        <v>/</v>
      </c>
    </row>
    <row r="106" spans="2:8" x14ac:dyDescent="0.25">
      <c r="B106" s="31" t="s">
        <v>93</v>
      </c>
      <c r="C106" s="33">
        <f>VLOOKUP(Преглед!B106,База!$A$4:$AL$177,15,0)</f>
        <v>18.668256084912649</v>
      </c>
      <c r="D106" s="33">
        <f>VLOOKUP(Преглед!B106,База!$A$4:$AL$177,24,0)</f>
        <v>16.389657600419199</v>
      </c>
      <c r="E106" s="33">
        <f>VLOOKUP(Преглед!B106,База!$A$4:$AL$177,33,0)</f>
        <v>18.668256084912649</v>
      </c>
      <c r="F106" s="184">
        <f>VLOOKUP(B106,База!$A$4:$AP$177,42,0)</f>
        <v>43646</v>
      </c>
      <c r="G106" s="37" t="str">
        <f>IFERROR(VLOOKUP(B106,База!$A$4:$AH$177,34,FALSE),"")</f>
        <v>/</v>
      </c>
      <c r="H106" s="160" t="str">
        <f>VLOOKUP(B106,База!$A$4:$AI$177,35,FALSE)</f>
        <v>/</v>
      </c>
    </row>
    <row r="107" spans="2:8" x14ac:dyDescent="0.25">
      <c r="B107" s="31" t="s">
        <v>25</v>
      </c>
      <c r="C107" s="33">
        <f>VLOOKUP(Преглед!B107,База!$A$4:$AL$177,15,0)</f>
        <v>5.3714569865738442</v>
      </c>
      <c r="D107" s="33">
        <f>VLOOKUP(Преглед!B107,База!$A$4:$AL$177,24,0)</f>
        <v>4.2696087676285073</v>
      </c>
      <c r="E107" s="33">
        <f>VLOOKUP(Преглед!B107,База!$A$4:$AL$177,33,0)</f>
        <v>5.3714569865738433</v>
      </c>
      <c r="F107" s="184">
        <f>VLOOKUP(B107,База!$A$4:$AP$177,42,0)</f>
        <v>43646</v>
      </c>
      <c r="G107" s="37" t="str">
        <f>IFERROR(VLOOKUP(B107,База!$A$4:$AH$177,34,FALSE),"")</f>
        <v>/</v>
      </c>
      <c r="H107" s="160" t="str">
        <f>VLOOKUP(B107,База!$A$4:$AI$177,35,FALSE)</f>
        <v>/</v>
      </c>
    </row>
    <row r="108" spans="2:8" x14ac:dyDescent="0.25">
      <c r="B108" s="31"/>
      <c r="C108" s="33" t="e">
        <f>VLOOKUP(Преглед!B108,База!$A$4:$AL$177,15,0)</f>
        <v>#N/A</v>
      </c>
      <c r="D108" s="33" t="e">
        <f>VLOOKUP(Преглед!B108,База!$A$4:$AL$177,24,0)</f>
        <v>#N/A</v>
      </c>
      <c r="E108" s="33" t="e">
        <f>VLOOKUP(Преглед!B108,База!$A$4:$AL$177,33,0)</f>
        <v>#N/A</v>
      </c>
      <c r="F108" s="184" t="e">
        <f>VLOOKUP(B108,База!$A$4:$AP$177,42,0)</f>
        <v>#N/A</v>
      </c>
      <c r="G108" s="37" t="str">
        <f>IFERROR(VLOOKUP(B108,База!$A$4:$AH$177,34,FALSE),"")</f>
        <v/>
      </c>
      <c r="H108" s="160" t="e">
        <f>VLOOKUP(B108,База!$A$4:$AI$177,35,FALSE)</f>
        <v>#N/A</v>
      </c>
    </row>
    <row r="109" spans="2:8" x14ac:dyDescent="0.25">
      <c r="B109" s="31"/>
      <c r="C109" s="33" t="e">
        <f>VLOOKUP(Преглед!B109,База!$A$4:$AL$177,15,0)</f>
        <v>#N/A</v>
      </c>
      <c r="D109" s="33" t="e">
        <f>VLOOKUP(Преглед!B109,База!$A$4:$AL$177,24,0)</f>
        <v>#N/A</v>
      </c>
      <c r="E109" s="33" t="e">
        <f>VLOOKUP(Преглед!B109,База!$A$4:$AL$177,33,0)</f>
        <v>#N/A</v>
      </c>
      <c r="F109" s="184" t="e">
        <f>VLOOKUP(B109,База!$A$4:$AP$177,42,0)</f>
        <v>#N/A</v>
      </c>
      <c r="G109" s="37" t="str">
        <f>IFERROR(VLOOKUP(B109,База!$A$4:$AH$177,34,FALSE),"")</f>
        <v/>
      </c>
      <c r="H109" s="160" t="e">
        <f>VLOOKUP(B109,База!$A$4:$AI$177,35,FALSE)</f>
        <v>#N/A</v>
      </c>
    </row>
    <row r="110" spans="2:8" x14ac:dyDescent="0.25">
      <c r="B110" s="31"/>
      <c r="C110" s="64" t="e">
        <f>VLOOKUP(Преглед!B110,База!$A$4:$AL$177,15,0)</f>
        <v>#N/A</v>
      </c>
      <c r="D110" s="56" t="e">
        <f>VLOOKUP(Преглед!B110,База!$A$4:$AL$177,24,0)</f>
        <v>#N/A</v>
      </c>
      <c r="E110" s="56" t="e">
        <f>VLOOKUP(Преглед!B110,База!$A$4:$AL$177,33,0)</f>
        <v>#N/A</v>
      </c>
      <c r="F110" s="184" t="e">
        <f>VLOOKUP(B110,База!$A$4:$AP$177,42,0)</f>
        <v>#N/A</v>
      </c>
      <c r="G110" s="37" t="str">
        <f>IFERROR(VLOOKUP(B110,База!$A$4:$AH$177,34,FALSE),"")</f>
        <v/>
      </c>
      <c r="H110" s="160" t="e">
        <f>VLOOKUP(B110,База!$A$4:$AI$177,35,FALSE)</f>
        <v>#N/A</v>
      </c>
    </row>
    <row r="111" spans="2:8" x14ac:dyDescent="0.25">
      <c r="B111" s="31"/>
      <c r="C111" s="64" t="e">
        <f>VLOOKUP(Преглед!B111,База!$A$4:$AL$177,15,0)</f>
        <v>#N/A</v>
      </c>
      <c r="D111" s="56" t="e">
        <f>VLOOKUP(Преглед!B111,База!$A$4:$AL$177,24,0)</f>
        <v>#N/A</v>
      </c>
      <c r="E111" s="56" t="e">
        <f>VLOOKUP(Преглед!B111,База!$A$4:$AL$177,33,0)</f>
        <v>#N/A</v>
      </c>
      <c r="F111" s="184" t="e">
        <f>VLOOKUP(B111,База!$A$4:$AP$177,42,0)</f>
        <v>#N/A</v>
      </c>
      <c r="G111" s="37" t="str">
        <f>IFERROR(VLOOKUP(B111,База!$A$4:$AH$177,34,FALSE),"")</f>
        <v/>
      </c>
      <c r="H111" s="160" t="e">
        <f>VLOOKUP(B111,База!$A$4:$AI$177,35,FALSE)</f>
        <v>#N/A</v>
      </c>
    </row>
    <row r="112" spans="2:8" x14ac:dyDescent="0.25">
      <c r="B112" s="31"/>
      <c r="C112" s="64" t="e">
        <f>VLOOKUP(Преглед!B112,База!$A$4:$AL$177,15,0)</f>
        <v>#N/A</v>
      </c>
      <c r="D112" s="56" t="e">
        <f>VLOOKUP(Преглед!B112,База!$A$4:$AL$177,24,0)</f>
        <v>#N/A</v>
      </c>
      <c r="E112" s="56" t="e">
        <f>VLOOKUP(Преглед!B112,База!$A$4:$AL$177,33,0)</f>
        <v>#N/A</v>
      </c>
      <c r="F112" s="184" t="e">
        <f>VLOOKUP(B112,База!$A$4:$AP$177,42,0)</f>
        <v>#N/A</v>
      </c>
      <c r="G112" s="37" t="str">
        <f>IFERROR(VLOOKUP(B112,База!$A$4:$AH$177,34,FALSE),"")</f>
        <v/>
      </c>
      <c r="H112" s="160" t="e">
        <f>VLOOKUP(B112,База!$A$4:$AI$177,35,FALSE)</f>
        <v>#N/A</v>
      </c>
    </row>
    <row r="113" spans="2:8" x14ac:dyDescent="0.25">
      <c r="B113" s="31"/>
      <c r="C113" s="64" t="e">
        <f>VLOOKUP(Преглед!B113,База!$A$4:$AL$177,15,0)</f>
        <v>#N/A</v>
      </c>
      <c r="D113" s="56" t="e">
        <f>VLOOKUP(Преглед!B113,База!$A$4:$AL$177,24,0)</f>
        <v>#N/A</v>
      </c>
      <c r="E113" s="56" t="e">
        <f>VLOOKUP(Преглед!B113,База!$A$4:$AL$177,33,0)</f>
        <v>#N/A</v>
      </c>
      <c r="F113" s="184" t="e">
        <f>VLOOKUP(B113,База!$A$4:$AP$177,42,0)</f>
        <v>#N/A</v>
      </c>
      <c r="G113" s="37" t="str">
        <f>IFERROR(VLOOKUP(B113,База!$A$4:$AH$177,34,FALSE),"")</f>
        <v/>
      </c>
      <c r="H113" s="160" t="e">
        <f>VLOOKUP(B113,База!$A$4:$AI$177,35,FALSE)</f>
        <v>#N/A</v>
      </c>
    </row>
    <row r="114" spans="2:8" x14ac:dyDescent="0.25">
      <c r="B114" s="31"/>
      <c r="C114" s="64" t="e">
        <f>VLOOKUP(Преглед!B114,База!$A$4:$AL$177,15,0)</f>
        <v>#N/A</v>
      </c>
      <c r="D114" s="56" t="e">
        <f>VLOOKUP(Преглед!B114,База!$A$4:$AL$177,24,0)</f>
        <v>#N/A</v>
      </c>
      <c r="E114" s="56" t="e">
        <f>VLOOKUP(Преглед!B114,База!$A$4:$AL$177,33,0)</f>
        <v>#N/A</v>
      </c>
      <c r="F114" s="184" t="e">
        <f>VLOOKUP(B114,База!$A$4:$AP$177,42,0)</f>
        <v>#N/A</v>
      </c>
      <c r="G114" s="37" t="str">
        <f>IFERROR(VLOOKUP(B114,База!$A$4:$AH$177,34,FALSE),"")</f>
        <v/>
      </c>
      <c r="H114" s="160" t="e">
        <f>VLOOKUP(B114,База!$A$4:$AI$177,35,FALSE)</f>
        <v>#N/A</v>
      </c>
    </row>
    <row r="115" spans="2:8" x14ac:dyDescent="0.25">
      <c r="B115" s="138"/>
      <c r="C115" s="64" t="e">
        <f>VLOOKUP(Преглед!B115,База!$A$4:$AL$177,15,0)</f>
        <v>#N/A</v>
      </c>
      <c r="D115" s="56" t="e">
        <f>VLOOKUP(Преглед!B115,База!$A$4:$AL$177,24,0)</f>
        <v>#N/A</v>
      </c>
      <c r="E115" s="56" t="e">
        <f>VLOOKUP(Преглед!B115,База!$A$4:$AL$177,33,0)</f>
        <v>#N/A</v>
      </c>
      <c r="F115" s="184" t="e">
        <f>VLOOKUP(B115,База!$A$4:$AP$177,42,0)</f>
        <v>#N/A</v>
      </c>
      <c r="G115" s="37" t="str">
        <f>IFERROR(VLOOKUP(B115,База!$A$4:$AH$177,34,FALSE),"")</f>
        <v/>
      </c>
      <c r="H115" s="160" t="e">
        <f>VLOOKUP(B115,База!$A$4:$AI$177,35,FALSE)</f>
        <v>#N/A</v>
      </c>
    </row>
    <row r="116" spans="2:8" x14ac:dyDescent="0.25">
      <c r="B116" s="138"/>
      <c r="C116" s="64" t="e">
        <f>VLOOKUP(Преглед!B116,База!$A$4:$AL$177,15,0)</f>
        <v>#N/A</v>
      </c>
      <c r="D116" s="56" t="e">
        <f>VLOOKUP(Преглед!B116,База!$A$4:$AL$177,24,0)</f>
        <v>#N/A</v>
      </c>
      <c r="E116" s="56" t="e">
        <f>VLOOKUP(Преглед!B116,База!$A$4:$AL$177,33,0)</f>
        <v>#N/A</v>
      </c>
      <c r="F116" s="184" t="e">
        <f>VLOOKUP(B116,База!$A$4:$AP$177,42,0)</f>
        <v>#N/A</v>
      </c>
      <c r="G116" s="37" t="str">
        <f>IFERROR(VLOOKUP(B116,База!$A$4:$AH$177,34,FALSE),"")</f>
        <v/>
      </c>
      <c r="H116" s="160" t="e">
        <f>VLOOKUP(B116,База!$A$4:$AI$177,35,FALSE)</f>
        <v>#N/A</v>
      </c>
    </row>
    <row r="117" spans="2:8" x14ac:dyDescent="0.25">
      <c r="B117" s="138"/>
      <c r="C117" s="64" t="e">
        <f>VLOOKUP(Преглед!B117,База!$A$4:$AL$177,15,0)</f>
        <v>#N/A</v>
      </c>
      <c r="D117" s="56" t="e">
        <f>VLOOKUP(Преглед!B117,База!$A$4:$AL$177,24,0)</f>
        <v>#N/A</v>
      </c>
      <c r="E117" s="56" t="e">
        <f>VLOOKUP(Преглед!B117,База!$A$4:$AL$177,33,0)</f>
        <v>#N/A</v>
      </c>
      <c r="F117" s="184" t="e">
        <f>VLOOKUP(B117,База!$A$4:$AP$177,42,0)</f>
        <v>#N/A</v>
      </c>
      <c r="G117" s="37" t="str">
        <f>IFERROR(VLOOKUP(B117,База!$A$4:$AH$177,34,FALSE),"")</f>
        <v/>
      </c>
      <c r="H117" s="160" t="e">
        <f>VLOOKUP(B117,База!$A$4:$AI$177,35,FALSE)</f>
        <v>#N/A</v>
      </c>
    </row>
    <row r="118" spans="2:8" x14ac:dyDescent="0.25">
      <c r="B118" s="138"/>
      <c r="C118" s="64" t="e">
        <f>VLOOKUP(Преглед!B118,База!$A$4:$AL$177,15,0)</f>
        <v>#N/A</v>
      </c>
      <c r="D118" s="56" t="e">
        <f>VLOOKUP(Преглед!B118,База!$A$4:$AL$177,24,0)</f>
        <v>#N/A</v>
      </c>
      <c r="E118" s="56" t="e">
        <f>VLOOKUP(Преглед!B118,База!$A$4:$AL$177,33,0)</f>
        <v>#N/A</v>
      </c>
      <c r="F118" s="184" t="e">
        <f>VLOOKUP(B118,База!$A$4:$AP$177,42,0)</f>
        <v>#N/A</v>
      </c>
      <c r="G118" s="37" t="str">
        <f>IFERROR(VLOOKUP(B118,База!$A$4:$AH$177,34,FALSE),"")</f>
        <v/>
      </c>
      <c r="H118" s="160" t="e">
        <f>VLOOKUP(B118,База!$A$4:$AI$177,35,FALSE)</f>
        <v>#N/A</v>
      </c>
    </row>
    <row r="119" spans="2:8" x14ac:dyDescent="0.25">
      <c r="B119" s="139"/>
      <c r="C119" s="75" t="e">
        <f>VLOOKUP(Преглед!B119,База!$A$4:$AL$177,15,0)</f>
        <v>#N/A</v>
      </c>
      <c r="D119" s="58" t="e">
        <f>VLOOKUP(Преглед!B119,База!$A$4:$AL$177,24,0)</f>
        <v>#N/A</v>
      </c>
      <c r="E119" s="58" t="e">
        <f>VLOOKUP(Преглед!B119,База!$A$4:$AL$177,33,0)</f>
        <v>#N/A</v>
      </c>
      <c r="F119" s="185" t="e">
        <f>VLOOKUP(B119,База!$A$4:$AP$177,42,0)</f>
        <v>#N/A</v>
      </c>
      <c r="G119" s="65" t="str">
        <f>IFERROR(VLOOKUP(B119,База!$A$4:$AH$177,34,FALSE),"")</f>
        <v/>
      </c>
      <c r="H119" s="165" t="e">
        <f>VLOOKUP(B119,База!$A$4:$AI$177,35,FALSE)</f>
        <v>#N/A</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82"/>
  <sheetViews>
    <sheetView zoomScale="90" zoomScaleNormal="90" workbookViewId="0">
      <pane xSplit="2" ySplit="3" topLeftCell="C4" activePane="bottomRight" state="frozen"/>
      <selection pane="topRight" activeCell="C1" sqref="C1"/>
      <selection pane="bottomLeft" activeCell="A4" sqref="A4"/>
      <selection pane="bottomRight" activeCell="A168" sqref="A168:XFD177"/>
    </sheetView>
  </sheetViews>
  <sheetFormatPr defaultRowHeight="15" x14ac:dyDescent="0.25"/>
  <cols>
    <col min="1" max="1" width="21.5703125" customWidth="1"/>
    <col min="2" max="2" width="12" customWidth="1"/>
    <col min="3" max="3" width="10.5703125" customWidth="1"/>
    <col min="4" max="4" width="10.140625" customWidth="1"/>
    <col min="5" max="5" width="8.7109375" customWidth="1"/>
    <col min="6" max="6" width="8.85546875" customWidth="1"/>
    <col min="7" max="7" width="12.5703125" customWidth="1"/>
    <col min="8" max="9" width="12.140625" style="13" customWidth="1"/>
    <col min="10" max="10" width="12.7109375" style="13" customWidth="1"/>
    <col min="11" max="11" width="12.7109375" style="30" customWidth="1"/>
    <col min="12" max="12" width="16.5703125" style="13" customWidth="1"/>
    <col min="13" max="13" width="14.85546875" style="13" customWidth="1"/>
    <col min="14" max="14" width="13.5703125" style="13" customWidth="1"/>
    <col min="15" max="15" width="11.5703125" customWidth="1"/>
    <col min="16" max="18" width="12.7109375" hidden="1" customWidth="1"/>
    <col min="19" max="19" width="13" customWidth="1"/>
    <col min="20" max="24" width="10.85546875" customWidth="1"/>
    <col min="25" max="25" width="13" customWidth="1"/>
    <col min="26" max="26" width="13.42578125" customWidth="1"/>
    <col min="27" max="27" width="13.85546875" customWidth="1"/>
    <col min="28" max="28" width="14.85546875" customWidth="1"/>
    <col min="29" max="29" width="13.28515625" customWidth="1"/>
    <col min="30" max="30" width="13" customWidth="1"/>
    <col min="31" max="33" width="10.85546875" customWidth="1"/>
    <col min="34" max="34" width="13.5703125" customWidth="1"/>
    <col min="35" max="35" width="12.42578125" customWidth="1"/>
    <col min="36" max="36" width="12.140625" customWidth="1"/>
    <col min="37" max="37" width="10.28515625" customWidth="1"/>
    <col min="39" max="39" width="10.140625" bestFit="1" customWidth="1"/>
    <col min="42" max="42" width="13.5703125" customWidth="1"/>
    <col min="43" max="43" width="13.7109375" customWidth="1"/>
    <col min="44" max="44" width="15.28515625" customWidth="1"/>
    <col min="45" max="45" width="13.28515625" customWidth="1"/>
    <col min="46" max="46" width="12.5703125" customWidth="1"/>
    <col min="48" max="48" width="11.140625" customWidth="1"/>
  </cols>
  <sheetData>
    <row r="1" spans="1:50" s="5" customFormat="1" ht="72.75" customHeight="1" thickTop="1" x14ac:dyDescent="0.25">
      <c r="A1" s="2" t="s">
        <v>38</v>
      </c>
      <c r="B1" s="3"/>
      <c r="C1" s="7" t="s">
        <v>214</v>
      </c>
      <c r="D1" s="7" t="s">
        <v>47</v>
      </c>
      <c r="E1" s="7" t="s">
        <v>48</v>
      </c>
      <c r="F1" s="7" t="s">
        <v>49</v>
      </c>
      <c r="G1" s="4" t="s">
        <v>41</v>
      </c>
      <c r="H1" s="12" t="s">
        <v>42</v>
      </c>
      <c r="I1" s="12" t="s">
        <v>88</v>
      </c>
      <c r="J1" s="12" t="s">
        <v>53</v>
      </c>
      <c r="K1" s="27" t="s">
        <v>87</v>
      </c>
      <c r="L1" s="12" t="s">
        <v>54</v>
      </c>
      <c r="M1" s="12" t="s">
        <v>55</v>
      </c>
      <c r="N1" s="12" t="s">
        <v>56</v>
      </c>
      <c r="O1" s="16" t="s">
        <v>50</v>
      </c>
      <c r="P1" s="4" t="s">
        <v>36</v>
      </c>
      <c r="Q1" s="4" t="s">
        <v>40</v>
      </c>
      <c r="R1" s="150"/>
      <c r="S1" s="4" t="s">
        <v>336</v>
      </c>
      <c r="T1" s="4" t="s">
        <v>337</v>
      </c>
      <c r="U1" s="4" t="s">
        <v>22</v>
      </c>
      <c r="V1" s="4" t="s">
        <v>43</v>
      </c>
      <c r="W1" s="4" t="s">
        <v>44</v>
      </c>
      <c r="X1" s="16" t="s">
        <v>45</v>
      </c>
      <c r="Y1" s="149" t="s">
        <v>571</v>
      </c>
      <c r="Z1" s="149" t="s">
        <v>572</v>
      </c>
      <c r="AA1" s="149" t="s">
        <v>573</v>
      </c>
      <c r="AB1" s="149" t="s">
        <v>574</v>
      </c>
      <c r="AC1" s="149" t="s">
        <v>575</v>
      </c>
      <c r="AD1" s="149" t="s">
        <v>576</v>
      </c>
      <c r="AE1" s="4" t="s">
        <v>341</v>
      </c>
      <c r="AF1" s="4" t="s">
        <v>340</v>
      </c>
      <c r="AG1" s="16" t="s">
        <v>339</v>
      </c>
      <c r="AH1" s="147" t="s">
        <v>342</v>
      </c>
      <c r="AI1" s="4" t="s">
        <v>39</v>
      </c>
      <c r="AJ1" s="193" t="s">
        <v>82</v>
      </c>
      <c r="AK1" s="193" t="s">
        <v>83</v>
      </c>
      <c r="AL1" s="25" t="s">
        <v>84</v>
      </c>
      <c r="AM1" s="25" t="s">
        <v>85</v>
      </c>
      <c r="AN1" s="25" t="s">
        <v>209</v>
      </c>
      <c r="AO1" s="25" t="s">
        <v>210</v>
      </c>
      <c r="AP1" s="4" t="s">
        <v>483</v>
      </c>
      <c r="AQ1" s="146" t="s">
        <v>414</v>
      </c>
      <c r="AR1" s="146" t="s">
        <v>415</v>
      </c>
      <c r="AS1" s="146" t="s">
        <v>416</v>
      </c>
      <c r="AT1" s="148" t="s">
        <v>417</v>
      </c>
      <c r="AU1" s="148" t="s">
        <v>418</v>
      </c>
      <c r="AV1" s="148" t="s">
        <v>419</v>
      </c>
      <c r="AW1" s="148" t="s">
        <v>420</v>
      </c>
      <c r="AX1" s="171" t="s">
        <v>440</v>
      </c>
    </row>
    <row r="2" spans="1:50" s="1" customFormat="1" ht="15.75" x14ac:dyDescent="0.25">
      <c r="A2" s="8" t="s">
        <v>37</v>
      </c>
      <c r="B2" s="8" t="s">
        <v>21</v>
      </c>
      <c r="C2" s="8"/>
      <c r="D2" s="10">
        <f>SUM(D4:D177)</f>
        <v>174</v>
      </c>
      <c r="E2" s="8">
        <f>COUNT(E4:E177)</f>
        <v>174</v>
      </c>
      <c r="F2" s="14">
        <f>D2/E2*100</f>
        <v>100</v>
      </c>
      <c r="G2" s="9">
        <f>SUM(G4:G177)</f>
        <v>33398978</v>
      </c>
      <c r="H2" s="9">
        <f>SUM(H4:H177)</f>
        <v>32842479</v>
      </c>
      <c r="I2" s="68">
        <f>SUM(I4:I177)</f>
        <v>278948</v>
      </c>
      <c r="J2" s="68">
        <f>SUM(J4:J177)</f>
        <v>28445349</v>
      </c>
      <c r="K2" s="69"/>
      <c r="L2" s="9">
        <f>COUNTIF($L$4:$L$177,$L$5)</f>
        <v>174</v>
      </c>
      <c r="M2" s="9"/>
      <c r="N2" s="9"/>
      <c r="O2" s="17">
        <f>IFERROR(H2/G2*100, "")</f>
        <v>98.333784345137744</v>
      </c>
      <c r="P2" s="15"/>
      <c r="Q2" s="6" t="str">
        <f>IF(AND(ISNUMBER(O2), ISNUMBER(P2)), O2-P2, "")</f>
        <v/>
      </c>
      <c r="R2" s="6"/>
      <c r="S2" s="9">
        <f>SUM(S4:S177)</f>
        <v>10793028</v>
      </c>
      <c r="T2" s="9">
        <f>SUM(T4:T177)</f>
        <v>10667567</v>
      </c>
      <c r="U2" s="11">
        <f>IFERROR(T2/S2*100, "")</f>
        <v>98.837573663294492</v>
      </c>
      <c r="V2" s="9">
        <f>SUM(V4:V177)</f>
        <v>22605950</v>
      </c>
      <c r="W2" s="9">
        <f>SUM(W4:W177)</f>
        <v>22174912</v>
      </c>
      <c r="X2" s="17">
        <f>IFERROR(W2/V2*100, "")</f>
        <v>98.093254209621804</v>
      </c>
      <c r="Y2" s="9">
        <f>SUM(Y4:Y177)</f>
        <v>2144786</v>
      </c>
      <c r="Z2" s="9">
        <f>SUM(Z4:Z177)</f>
        <v>2132449</v>
      </c>
      <c r="AA2" s="11">
        <f>IFERROR(Z2/Y2*100, "")</f>
        <v>99.42479109803962</v>
      </c>
      <c r="AB2" s="9">
        <f>SUM(AB4:AB177)</f>
        <v>8648242</v>
      </c>
      <c r="AC2" s="9">
        <f>SUM(AC4:AC177)</f>
        <v>8535118</v>
      </c>
      <c r="AD2" s="11">
        <f>IFERROR(AC2/AB2*100, "")</f>
        <v>98.69194224675951</v>
      </c>
      <c r="AE2" s="9">
        <f>SUM(AE4:AE177)</f>
        <v>31254192</v>
      </c>
      <c r="AF2" s="9">
        <f>SUM(AF4:AF177)</f>
        <v>30710030</v>
      </c>
      <c r="AG2" s="17">
        <f>IFERROR(AF2/AE2*100, "")</f>
        <v>98.258915156085308</v>
      </c>
      <c r="AH2" s="6"/>
      <c r="AI2" s="6"/>
      <c r="AQ2" s="9">
        <f>SUM(AQ4:AQ177)</f>
        <v>10672925</v>
      </c>
      <c r="AR2" s="9">
        <f>SUM(AR4:AR177)</f>
        <v>8912587</v>
      </c>
      <c r="AS2" s="11">
        <f>IFERROR(AR2/AQ2*100, "")</f>
        <v>83.506508290838738</v>
      </c>
      <c r="AU2" s="26">
        <f t="shared" ref="AU2:AU33" si="0">S2-AQ2</f>
        <v>120103</v>
      </c>
      <c r="AV2" s="26">
        <f t="shared" ref="AV2:AV33" si="1">T2-AR2</f>
        <v>1754980</v>
      </c>
      <c r="AW2" s="26">
        <f t="shared" ref="AW2:AW33" si="2">U2-AS2</f>
        <v>15.331065372455754</v>
      </c>
    </row>
    <row r="3" spans="1:50" s="1" customFormat="1" ht="16.5" thickBot="1" x14ac:dyDescent="0.3">
      <c r="A3" s="8" t="s">
        <v>46</v>
      </c>
      <c r="B3" s="8"/>
      <c r="C3" s="8">
        <f>SUM(C4:C177)</f>
        <v>29</v>
      </c>
      <c r="D3" s="8">
        <f ca="1">SUMIF($C$4:$C$177, 0, D4:D148)</f>
        <v>145</v>
      </c>
      <c r="E3" s="8">
        <f ca="1">SUMIF($C$4:$C$177, 0, E4:E148)</f>
        <v>145</v>
      </c>
      <c r="F3" s="14">
        <f ca="1">D3/E3*100</f>
        <v>100</v>
      </c>
      <c r="G3" s="9">
        <f>SUMIF($C$4:$C$177, 0, G4:G177)</f>
        <v>29611154</v>
      </c>
      <c r="H3" s="9">
        <f>SUMIF($C$4:$C$177, 0, H4:H177)</f>
        <v>29475329</v>
      </c>
      <c r="I3" s="9">
        <f>SUMIF($C$4:$C$177, 0, I4:I177)</f>
        <v>273118</v>
      </c>
      <c r="J3" s="9">
        <f>SUMIF($C$4:$C$177, 0, J4:J177)</f>
        <v>26390659</v>
      </c>
      <c r="K3" s="28"/>
      <c r="L3" s="166">
        <f>COUNTIFS($C$4:$C$177,$C$4,$L$4:$L$177,$L$5)</f>
        <v>145</v>
      </c>
      <c r="M3" s="24"/>
      <c r="N3" s="24"/>
      <c r="O3" s="18">
        <f>IFERROR(H3/G3*100, "")</f>
        <v>99.541304604339302</v>
      </c>
      <c r="P3" s="15"/>
      <c r="Q3" s="6"/>
      <c r="R3" s="6"/>
      <c r="S3" s="9">
        <f>SUMIF($C$4:$C$177, 0, S4:S177)</f>
        <v>10360438</v>
      </c>
      <c r="T3" s="9">
        <f ca="1">SUMIF($C$4:$C$177, 0, T4:T148)</f>
        <v>10266981</v>
      </c>
      <c r="U3" s="11">
        <f ca="1">IFERROR(T3/S3*100, "")</f>
        <v>99.097943542541344</v>
      </c>
      <c r="V3" s="9">
        <f>SUMIF($C$4:$C$177, 0, V4:V177)</f>
        <v>19250716</v>
      </c>
      <c r="W3" s="9">
        <f>SUMIF($C$4:$C$177, 0, W4:W177)</f>
        <v>19208348</v>
      </c>
      <c r="X3" s="18">
        <f>IFERROR(W3/V3*100, "")</f>
        <v>99.779914679537114</v>
      </c>
      <c r="Y3" s="9">
        <f>SUMIF($C$4:$C$177, 0, Y4:Y177)</f>
        <v>2123103</v>
      </c>
      <c r="Z3" s="9">
        <f ca="1">SUMIF($C$4:$C$177, 0, Z4:Z148)</f>
        <v>2110766</v>
      </c>
      <c r="AA3" s="11">
        <f ca="1">IFERROR(Z3/Y3*100, "")</f>
        <v>99.4189165575104</v>
      </c>
      <c r="AB3" s="9">
        <f>SUMIF($C$4:$C$177, 0, AB4:AB177)</f>
        <v>8237335</v>
      </c>
      <c r="AC3" s="9">
        <f ca="1">SUMIF($C$4:$C$177, 0, AC4:AC148)</f>
        <v>8156215</v>
      </c>
      <c r="AD3" s="11">
        <f ca="1">IFERROR(AC3/AB3*100, "")</f>
        <v>99.015215479278183</v>
      </c>
      <c r="AE3" s="9">
        <f>SUMIF($C$4:$C$177, 0, AE4:AE177)</f>
        <v>27488051</v>
      </c>
      <c r="AF3" s="9">
        <f ca="1">SUMIF($C$4:$C$177, 0, AF4:AF148)</f>
        <v>27364563</v>
      </c>
      <c r="AG3" s="18">
        <f ca="1">IFERROR(AF3/AE3*100, "")</f>
        <v>99.550757527334326</v>
      </c>
      <c r="AH3" s="6"/>
      <c r="AI3" s="6"/>
      <c r="AQ3" s="9">
        <f>SUMIF($C$4:$C$177, 0, AQ4:AQ177)</f>
        <v>10147119</v>
      </c>
      <c r="AR3" s="9">
        <f ca="1">SUMIF($C$4:$C$177, 0, AR4:AR148)</f>
        <v>8531477</v>
      </c>
      <c r="AS3" s="11">
        <f ca="1">IFERROR(AR3/AQ3*100, "")</f>
        <v>84.077825439910583</v>
      </c>
      <c r="AU3" s="26">
        <f t="shared" si="0"/>
        <v>213319</v>
      </c>
      <c r="AV3" s="26">
        <f t="shared" ca="1" si="1"/>
        <v>1735504</v>
      </c>
      <c r="AW3" s="26">
        <f t="shared" ca="1" si="2"/>
        <v>15.020118102630761</v>
      </c>
    </row>
    <row r="4" spans="1:50" s="1" customFormat="1" ht="15.75" thickTop="1" x14ac:dyDescent="0.25">
      <c r="A4" s="173" t="s">
        <v>120</v>
      </c>
      <c r="B4" s="8">
        <v>17565800</v>
      </c>
      <c r="C4" s="8">
        <v>0</v>
      </c>
      <c r="D4" s="10">
        <v>1</v>
      </c>
      <c r="E4" s="10">
        <v>1</v>
      </c>
      <c r="F4" s="10"/>
      <c r="G4" s="10">
        <f t="shared" ref="G4:G35" si="3">SUM(S4,V4)</f>
        <v>4847320</v>
      </c>
      <c r="H4" s="19">
        <f t="shared" ref="H4:H35" si="4">SUM(T4,W4)</f>
        <v>4847320</v>
      </c>
      <c r="I4" s="19">
        <v>0</v>
      </c>
      <c r="J4" s="19">
        <v>4535368</v>
      </c>
      <c r="K4" s="29">
        <f t="shared" ref="K4:K35" si="5">(H4-J4)/H4*100</f>
        <v>6.4355561423632022</v>
      </c>
      <c r="L4" s="19" t="s">
        <v>58</v>
      </c>
      <c r="M4" s="23">
        <v>42776.307430555556</v>
      </c>
      <c r="N4" s="23"/>
      <c r="O4" s="180">
        <f t="shared" ref="O4:O35" si="6">IFERROR(100*H4/G4,"")</f>
        <v>100</v>
      </c>
      <c r="P4" s="19">
        <v>100</v>
      </c>
      <c r="Q4" s="19">
        <f t="shared" ref="Q4:Q29" si="7">ROUND(O4-P4,0)</f>
        <v>0</v>
      </c>
      <c r="R4" s="19"/>
      <c r="S4" s="19">
        <f t="shared" ref="S4:S44" si="8">Y4+AB4</f>
        <v>1099780</v>
      </c>
      <c r="T4" s="19">
        <f t="shared" ref="T4:T44" si="9">Z4+AC4</f>
        <v>1099780</v>
      </c>
      <c r="U4" s="20">
        <f t="shared" ref="U4:U35" si="10">IFERROR(T4/S4*100,"")</f>
        <v>100</v>
      </c>
      <c r="V4" s="19">
        <v>3747540</v>
      </c>
      <c r="W4" s="19">
        <v>3747540</v>
      </c>
      <c r="X4" s="188">
        <f t="shared" ref="X4:X35" si="11">IFERROR(W4/V4*100,"")</f>
        <v>100</v>
      </c>
      <c r="Y4" s="20">
        <v>322288</v>
      </c>
      <c r="Z4" s="20">
        <v>322288</v>
      </c>
      <c r="AA4" s="20">
        <f t="shared" ref="AA4:AA35" si="12">IFERROR(Z4/Y4*100,"")</f>
        <v>100</v>
      </c>
      <c r="AB4" s="20">
        <v>777492</v>
      </c>
      <c r="AC4" s="20">
        <v>777492</v>
      </c>
      <c r="AD4" s="20">
        <f t="shared" ref="AD4:AD35" si="13">IFERROR(AC4/AB4*100,"")</f>
        <v>100</v>
      </c>
      <c r="AE4" s="20">
        <f t="shared" ref="AE4:AE35" si="14">AB4+V4</f>
        <v>4525032</v>
      </c>
      <c r="AF4" s="20">
        <f t="shared" ref="AF4:AF35" si="15">AC4+W4</f>
        <v>4525032</v>
      </c>
      <c r="AG4" s="188">
        <f t="shared" ref="AG4:AG35" si="16">IFERROR(AF4/AE4*100,"")</f>
        <v>100</v>
      </c>
      <c r="AH4" s="59" t="s">
        <v>51</v>
      </c>
      <c r="AI4" s="19" t="s">
        <v>51</v>
      </c>
      <c r="AJ4" s="8" t="s">
        <v>86</v>
      </c>
      <c r="AK4" s="8"/>
      <c r="AL4" s="8" t="str">
        <f t="shared" ref="AL4:AL29" si="17">IF(AK4&gt;0,AK4*AJ4,"")</f>
        <v/>
      </c>
      <c r="AM4" s="26">
        <f t="shared" ref="AM4:AM35" si="18">G4-H4</f>
        <v>0</v>
      </c>
      <c r="AO4" s="26">
        <v>128.0625</v>
      </c>
      <c r="AP4" s="181">
        <v>43282</v>
      </c>
      <c r="AQ4" s="159">
        <v>1109780</v>
      </c>
      <c r="AR4" s="159">
        <v>893700</v>
      </c>
      <c r="AS4" s="151">
        <f t="shared" ref="AS4:AS35" si="19">IFERROR(AR4/AQ4*100,"")</f>
        <v>80.529474310223648</v>
      </c>
      <c r="AU4" s="26">
        <f t="shared" si="0"/>
        <v>-10000</v>
      </c>
      <c r="AV4" s="26">
        <f t="shared" si="1"/>
        <v>206080</v>
      </c>
      <c r="AW4" s="26">
        <f t="shared" si="2"/>
        <v>19.470525689776352</v>
      </c>
      <c r="AX4" s="1">
        <v>4</v>
      </c>
    </row>
    <row r="5" spans="1:50" s="1" customFormat="1" x14ac:dyDescent="0.25">
      <c r="A5" s="141" t="s">
        <v>262</v>
      </c>
      <c r="B5" s="8">
        <v>17620541</v>
      </c>
      <c r="C5" s="8">
        <v>0</v>
      </c>
      <c r="D5" s="10">
        <v>1</v>
      </c>
      <c r="E5" s="10">
        <v>1</v>
      </c>
      <c r="F5" s="10"/>
      <c r="G5" s="10">
        <f t="shared" si="3"/>
        <v>864597</v>
      </c>
      <c r="H5" s="19">
        <f t="shared" si="4"/>
        <v>864597</v>
      </c>
      <c r="I5" s="19">
        <v>0</v>
      </c>
      <c r="J5" s="19">
        <v>623467</v>
      </c>
      <c r="K5" s="29">
        <f t="shared" si="5"/>
        <v>27.889294087303103</v>
      </c>
      <c r="L5" s="19" t="s">
        <v>58</v>
      </c>
      <c r="M5" s="23"/>
      <c r="N5" s="23" t="s">
        <v>76</v>
      </c>
      <c r="O5" s="180">
        <f t="shared" si="6"/>
        <v>100</v>
      </c>
      <c r="P5" s="19">
        <v>100</v>
      </c>
      <c r="Q5" s="19">
        <f t="shared" si="7"/>
        <v>0</v>
      </c>
      <c r="R5" s="19"/>
      <c r="S5" s="19">
        <f t="shared" si="8"/>
        <v>138363</v>
      </c>
      <c r="T5" s="19">
        <f t="shared" si="9"/>
        <v>138363</v>
      </c>
      <c r="U5" s="20">
        <f t="shared" si="10"/>
        <v>100</v>
      </c>
      <c r="V5" s="19">
        <v>726234</v>
      </c>
      <c r="W5" s="19">
        <v>726234</v>
      </c>
      <c r="X5" s="188">
        <f t="shared" si="11"/>
        <v>100</v>
      </c>
      <c r="Y5" s="19">
        <v>36488</v>
      </c>
      <c r="Z5" s="20">
        <v>36488</v>
      </c>
      <c r="AA5" s="20">
        <f t="shared" si="12"/>
        <v>100</v>
      </c>
      <c r="AB5" s="20">
        <v>101875</v>
      </c>
      <c r="AC5" s="20">
        <v>101875</v>
      </c>
      <c r="AD5" s="20">
        <f t="shared" si="13"/>
        <v>100</v>
      </c>
      <c r="AE5" s="20">
        <f t="shared" si="14"/>
        <v>828109</v>
      </c>
      <c r="AF5" s="20">
        <f t="shared" si="15"/>
        <v>828109</v>
      </c>
      <c r="AG5" s="188">
        <f t="shared" si="16"/>
        <v>100</v>
      </c>
      <c r="AH5" s="59" t="s">
        <v>343</v>
      </c>
      <c r="AI5" s="19" t="s">
        <v>51</v>
      </c>
      <c r="AL5" s="1" t="str">
        <f t="shared" si="17"/>
        <v/>
      </c>
      <c r="AM5" s="26">
        <f t="shared" si="18"/>
        <v>0</v>
      </c>
      <c r="AN5" s="26"/>
      <c r="AO5" s="26"/>
      <c r="AP5" s="181" t="s">
        <v>52</v>
      </c>
      <c r="AQ5" s="159">
        <v>154164</v>
      </c>
      <c r="AR5" s="159">
        <v>154164</v>
      </c>
      <c r="AS5" s="151">
        <f t="shared" si="19"/>
        <v>100</v>
      </c>
      <c r="AU5" s="26">
        <f t="shared" si="0"/>
        <v>-15801</v>
      </c>
      <c r="AV5" s="26">
        <f t="shared" si="1"/>
        <v>-15801</v>
      </c>
      <c r="AW5" s="10">
        <f t="shared" si="2"/>
        <v>0</v>
      </c>
      <c r="AX5" s="1">
        <v>2</v>
      </c>
    </row>
    <row r="6" spans="1:50" s="1" customFormat="1" x14ac:dyDescent="0.25">
      <c r="A6" s="173" t="s">
        <v>267</v>
      </c>
      <c r="B6" s="8" t="s">
        <v>7</v>
      </c>
      <c r="C6" s="8">
        <v>0</v>
      </c>
      <c r="D6" s="10">
        <v>1</v>
      </c>
      <c r="E6" s="10">
        <v>1</v>
      </c>
      <c r="F6" s="10"/>
      <c r="G6" s="10">
        <f t="shared" si="3"/>
        <v>535025</v>
      </c>
      <c r="H6" s="19">
        <f t="shared" si="4"/>
        <v>535025</v>
      </c>
      <c r="I6" s="19">
        <v>0</v>
      </c>
      <c r="J6" s="19">
        <v>436273</v>
      </c>
      <c r="K6" s="29">
        <f t="shared" si="5"/>
        <v>18.45745525910004</v>
      </c>
      <c r="L6" s="19" t="s">
        <v>58</v>
      </c>
      <c r="M6" s="23">
        <v>42776.322893518518</v>
      </c>
      <c r="N6" s="23"/>
      <c r="O6" s="180">
        <f t="shared" si="6"/>
        <v>100</v>
      </c>
      <c r="P6" s="19">
        <v>100</v>
      </c>
      <c r="Q6" s="19">
        <f t="shared" si="7"/>
        <v>0</v>
      </c>
      <c r="R6" s="19"/>
      <c r="S6" s="19">
        <f t="shared" si="8"/>
        <v>100950</v>
      </c>
      <c r="T6" s="19">
        <f t="shared" si="9"/>
        <v>100950</v>
      </c>
      <c r="U6" s="20">
        <f t="shared" si="10"/>
        <v>100</v>
      </c>
      <c r="V6" s="19">
        <v>434075</v>
      </c>
      <c r="W6" s="19">
        <v>434075</v>
      </c>
      <c r="X6" s="188">
        <f t="shared" si="11"/>
        <v>100</v>
      </c>
      <c r="Y6" s="19">
        <v>9274</v>
      </c>
      <c r="Z6" s="20">
        <v>9274</v>
      </c>
      <c r="AA6" s="20">
        <f t="shared" si="12"/>
        <v>100</v>
      </c>
      <c r="AB6" s="20">
        <v>91676</v>
      </c>
      <c r="AC6" s="20">
        <v>91676</v>
      </c>
      <c r="AD6" s="20">
        <f t="shared" si="13"/>
        <v>100</v>
      </c>
      <c r="AE6" s="20">
        <f t="shared" si="14"/>
        <v>525751</v>
      </c>
      <c r="AF6" s="20">
        <f t="shared" si="15"/>
        <v>525751</v>
      </c>
      <c r="AG6" s="188">
        <f t="shared" si="16"/>
        <v>100</v>
      </c>
      <c r="AH6" s="59" t="s">
        <v>476</v>
      </c>
      <c r="AI6" s="19">
        <v>0</v>
      </c>
      <c r="AJ6" s="1">
        <v>3</v>
      </c>
      <c r="AK6" s="1">
        <v>210</v>
      </c>
      <c r="AL6" s="1">
        <f t="shared" si="17"/>
        <v>630</v>
      </c>
      <c r="AM6" s="26">
        <f t="shared" si="18"/>
        <v>0</v>
      </c>
      <c r="AN6" s="26"/>
      <c r="AO6" s="26"/>
      <c r="AP6" s="181" t="s">
        <v>253</v>
      </c>
      <c r="AQ6" s="159">
        <v>104995</v>
      </c>
      <c r="AR6" s="159">
        <v>104995</v>
      </c>
      <c r="AS6" s="151">
        <f t="shared" si="19"/>
        <v>100</v>
      </c>
      <c r="AU6" s="26">
        <f t="shared" si="0"/>
        <v>-4045</v>
      </c>
      <c r="AV6" s="26">
        <f t="shared" si="1"/>
        <v>-4045</v>
      </c>
      <c r="AW6" s="26">
        <f t="shared" si="2"/>
        <v>0</v>
      </c>
      <c r="AX6" s="1">
        <v>4</v>
      </c>
    </row>
    <row r="7" spans="1:50" s="1" customFormat="1" x14ac:dyDescent="0.25">
      <c r="A7" s="141" t="s">
        <v>158</v>
      </c>
      <c r="B7" s="8">
        <v>6856535</v>
      </c>
      <c r="C7" s="8">
        <v>0</v>
      </c>
      <c r="D7" s="10">
        <v>1</v>
      </c>
      <c r="E7" s="10">
        <v>1</v>
      </c>
      <c r="F7" s="10"/>
      <c r="G7" s="10">
        <f t="shared" si="3"/>
        <v>603659</v>
      </c>
      <c r="H7" s="19">
        <f t="shared" si="4"/>
        <v>603659</v>
      </c>
      <c r="I7" s="19">
        <v>62697</v>
      </c>
      <c r="J7" s="19">
        <v>460325</v>
      </c>
      <c r="K7" s="29">
        <f t="shared" si="5"/>
        <v>23.744199953947508</v>
      </c>
      <c r="L7" s="19" t="s">
        <v>58</v>
      </c>
      <c r="M7" s="23">
        <v>42774.367384259262</v>
      </c>
      <c r="N7" s="23"/>
      <c r="O7" s="179">
        <f t="shared" si="6"/>
        <v>100</v>
      </c>
      <c r="P7" s="19">
        <v>59.87</v>
      </c>
      <c r="Q7" s="19">
        <f t="shared" si="7"/>
        <v>40</v>
      </c>
      <c r="R7" s="19"/>
      <c r="S7" s="19">
        <f t="shared" si="8"/>
        <v>198066</v>
      </c>
      <c r="T7" s="19">
        <f t="shared" si="9"/>
        <v>198066</v>
      </c>
      <c r="U7" s="20">
        <f t="shared" si="10"/>
        <v>100</v>
      </c>
      <c r="V7" s="19">
        <v>405593</v>
      </c>
      <c r="W7" s="19">
        <v>405593</v>
      </c>
      <c r="X7" s="187">
        <f t="shared" si="11"/>
        <v>100</v>
      </c>
      <c r="Y7" s="20">
        <v>0</v>
      </c>
      <c r="Z7" s="20">
        <v>0</v>
      </c>
      <c r="AA7" s="20" t="str">
        <f t="shared" si="12"/>
        <v/>
      </c>
      <c r="AB7" s="20">
        <v>198066</v>
      </c>
      <c r="AC7" s="20">
        <v>198066</v>
      </c>
      <c r="AD7" s="20">
        <f t="shared" si="13"/>
        <v>100</v>
      </c>
      <c r="AE7" s="20">
        <f t="shared" si="14"/>
        <v>603659</v>
      </c>
      <c r="AF7" s="20">
        <f t="shared" si="15"/>
        <v>603659</v>
      </c>
      <c r="AG7" s="187">
        <f>IFERROR(AF7/AE7*100,"")</f>
        <v>100</v>
      </c>
      <c r="AH7" s="59" t="s">
        <v>426</v>
      </c>
      <c r="AI7" s="19" t="s">
        <v>52</v>
      </c>
      <c r="AJ7" s="1">
        <v>37</v>
      </c>
      <c r="AK7" s="1">
        <v>30</v>
      </c>
      <c r="AL7" s="1">
        <f t="shared" si="17"/>
        <v>1110</v>
      </c>
      <c r="AM7" s="26">
        <f t="shared" si="18"/>
        <v>0</v>
      </c>
      <c r="AN7" s="26"/>
      <c r="AO7" s="26">
        <v>2328.5227272727275</v>
      </c>
      <c r="AP7" s="181">
        <v>43252</v>
      </c>
      <c r="AQ7" s="159">
        <v>198066</v>
      </c>
      <c r="AR7" s="159">
        <v>67065</v>
      </c>
      <c r="AS7" s="151">
        <f t="shared" si="19"/>
        <v>33.859925479385659</v>
      </c>
      <c r="AU7" s="26">
        <f t="shared" si="0"/>
        <v>0</v>
      </c>
      <c r="AV7" s="26">
        <f t="shared" si="1"/>
        <v>131001</v>
      </c>
      <c r="AW7" s="26">
        <f t="shared" si="2"/>
        <v>66.140074520614348</v>
      </c>
      <c r="AX7" s="1">
        <v>2</v>
      </c>
    </row>
    <row r="8" spans="1:50" s="1" customFormat="1" x14ac:dyDescent="0.25">
      <c r="A8" s="173" t="s">
        <v>265</v>
      </c>
      <c r="B8" s="8">
        <v>7184069</v>
      </c>
      <c r="C8" s="8">
        <v>0</v>
      </c>
      <c r="D8" s="10">
        <v>1</v>
      </c>
      <c r="E8" s="10">
        <v>1</v>
      </c>
      <c r="F8" s="10"/>
      <c r="G8" s="10">
        <f t="shared" si="3"/>
        <v>521133</v>
      </c>
      <c r="H8" s="19">
        <f t="shared" si="4"/>
        <v>521133</v>
      </c>
      <c r="I8" s="19">
        <v>0</v>
      </c>
      <c r="J8" s="19">
        <v>535165</v>
      </c>
      <c r="K8" s="29">
        <f t="shared" si="5"/>
        <v>-2.6925947886623955</v>
      </c>
      <c r="L8" s="19" t="s">
        <v>58</v>
      </c>
      <c r="M8" s="23">
        <v>42774.508645833332</v>
      </c>
      <c r="N8" s="23"/>
      <c r="O8" s="180">
        <f t="shared" si="6"/>
        <v>100</v>
      </c>
      <c r="P8" s="19">
        <v>100</v>
      </c>
      <c r="Q8" s="19">
        <f t="shared" si="7"/>
        <v>0</v>
      </c>
      <c r="R8" s="19"/>
      <c r="S8" s="19">
        <f t="shared" si="8"/>
        <v>123597</v>
      </c>
      <c r="T8" s="19">
        <f t="shared" si="9"/>
        <v>123597</v>
      </c>
      <c r="U8" s="20">
        <f t="shared" si="10"/>
        <v>100</v>
      </c>
      <c r="V8" s="19">
        <v>397536</v>
      </c>
      <c r="W8" s="19">
        <v>397536</v>
      </c>
      <c r="X8" s="188">
        <f t="shared" si="11"/>
        <v>100</v>
      </c>
      <c r="Y8" s="19">
        <v>7284</v>
      </c>
      <c r="Z8" s="59">
        <v>7284</v>
      </c>
      <c r="AA8" s="20">
        <f t="shared" si="12"/>
        <v>100</v>
      </c>
      <c r="AB8" s="59">
        <v>116313</v>
      </c>
      <c r="AC8" s="59">
        <v>116313</v>
      </c>
      <c r="AD8" s="20">
        <f t="shared" si="13"/>
        <v>100</v>
      </c>
      <c r="AE8" s="20">
        <f t="shared" si="14"/>
        <v>513849</v>
      </c>
      <c r="AF8" s="20">
        <f t="shared" si="15"/>
        <v>513849</v>
      </c>
      <c r="AG8" s="187">
        <f t="shared" si="16"/>
        <v>100</v>
      </c>
      <c r="AH8" s="59" t="s">
        <v>344</v>
      </c>
      <c r="AI8" s="19" t="s">
        <v>508</v>
      </c>
      <c r="AJ8" s="1" t="s">
        <v>86</v>
      </c>
      <c r="AL8" s="1" t="str">
        <f t="shared" si="17"/>
        <v/>
      </c>
      <c r="AM8" s="26">
        <f t="shared" si="18"/>
        <v>0</v>
      </c>
      <c r="AN8" s="26"/>
      <c r="AO8" s="26"/>
      <c r="AP8" s="181" t="s">
        <v>52</v>
      </c>
      <c r="AQ8" s="159">
        <v>112164</v>
      </c>
      <c r="AR8" s="159">
        <v>112164</v>
      </c>
      <c r="AS8" s="151">
        <f t="shared" si="19"/>
        <v>100</v>
      </c>
      <c r="AU8" s="26">
        <f t="shared" si="0"/>
        <v>11433</v>
      </c>
      <c r="AV8" s="26">
        <f t="shared" si="1"/>
        <v>11433</v>
      </c>
      <c r="AW8" s="26">
        <f t="shared" si="2"/>
        <v>0</v>
      </c>
      <c r="AX8" s="1">
        <v>4</v>
      </c>
    </row>
    <row r="9" spans="1:50" s="1" customFormat="1" x14ac:dyDescent="0.25">
      <c r="A9" s="173" t="s">
        <v>146</v>
      </c>
      <c r="B9" s="8">
        <v>7193807</v>
      </c>
      <c r="C9" s="8">
        <v>0</v>
      </c>
      <c r="D9" s="10">
        <v>1</v>
      </c>
      <c r="E9" s="10">
        <v>1</v>
      </c>
      <c r="F9" s="10"/>
      <c r="G9" s="10">
        <f t="shared" si="3"/>
        <v>477340</v>
      </c>
      <c r="H9" s="19">
        <f t="shared" si="4"/>
        <v>477340</v>
      </c>
      <c r="I9" s="19">
        <v>80</v>
      </c>
      <c r="J9" s="19">
        <v>378112</v>
      </c>
      <c r="K9" s="29">
        <f t="shared" si="5"/>
        <v>20.787698495831066</v>
      </c>
      <c r="L9" s="19" t="s">
        <v>58</v>
      </c>
      <c r="M9" s="23">
        <v>42762.615729166668</v>
      </c>
      <c r="N9" s="23"/>
      <c r="O9" s="179">
        <f t="shared" si="6"/>
        <v>100</v>
      </c>
      <c r="P9" s="19">
        <v>99</v>
      </c>
      <c r="Q9" s="19">
        <f t="shared" si="7"/>
        <v>1</v>
      </c>
      <c r="R9" s="19"/>
      <c r="S9" s="19">
        <f t="shared" si="8"/>
        <v>85398</v>
      </c>
      <c r="T9" s="19">
        <f t="shared" si="9"/>
        <v>85398</v>
      </c>
      <c r="U9" s="20">
        <f t="shared" si="10"/>
        <v>100</v>
      </c>
      <c r="V9" s="19">
        <v>391942</v>
      </c>
      <c r="W9" s="22">
        <v>391942</v>
      </c>
      <c r="X9" s="187">
        <f t="shared" si="11"/>
        <v>100</v>
      </c>
      <c r="Y9" s="20">
        <v>13188</v>
      </c>
      <c r="Z9" s="20">
        <v>13188</v>
      </c>
      <c r="AA9" s="20">
        <f t="shared" si="12"/>
        <v>100</v>
      </c>
      <c r="AB9" s="20">
        <v>72210</v>
      </c>
      <c r="AC9" s="20">
        <v>72210</v>
      </c>
      <c r="AD9" s="20">
        <f t="shared" si="13"/>
        <v>100</v>
      </c>
      <c r="AE9" s="20">
        <f t="shared" si="14"/>
        <v>464152</v>
      </c>
      <c r="AF9" s="20">
        <f t="shared" si="15"/>
        <v>464152</v>
      </c>
      <c r="AG9" s="187">
        <f t="shared" si="16"/>
        <v>100</v>
      </c>
      <c r="AH9" s="59" t="s">
        <v>406</v>
      </c>
      <c r="AI9" s="19">
        <v>0</v>
      </c>
      <c r="AL9" s="1" t="str">
        <f t="shared" si="17"/>
        <v/>
      </c>
      <c r="AM9" s="26">
        <f t="shared" si="18"/>
        <v>0</v>
      </c>
      <c r="AN9" s="26" t="e">
        <f>IF(AL9&gt;0,AM9/AL9,"")</f>
        <v>#VALUE!</v>
      </c>
      <c r="AO9" s="26">
        <v>11.410809608540925</v>
      </c>
      <c r="AP9" s="181" t="s">
        <v>52</v>
      </c>
      <c r="AQ9" s="159">
        <v>85398</v>
      </c>
      <c r="AR9" s="22">
        <v>85294</v>
      </c>
      <c r="AS9" s="151">
        <f t="shared" si="19"/>
        <v>99.878217288461087</v>
      </c>
      <c r="AU9" s="26">
        <f t="shared" si="0"/>
        <v>0</v>
      </c>
      <c r="AV9" s="26">
        <f t="shared" si="1"/>
        <v>104</v>
      </c>
      <c r="AW9" s="26">
        <f t="shared" si="2"/>
        <v>0.12178271153891274</v>
      </c>
      <c r="AX9" s="1">
        <v>4</v>
      </c>
    </row>
    <row r="10" spans="1:50" s="1" customFormat="1" x14ac:dyDescent="0.25">
      <c r="A10" s="173" t="s">
        <v>264</v>
      </c>
      <c r="B10" s="8">
        <v>8070695</v>
      </c>
      <c r="C10" s="8">
        <v>0</v>
      </c>
      <c r="D10" s="10">
        <v>1</v>
      </c>
      <c r="E10" s="10">
        <v>1</v>
      </c>
      <c r="F10" s="10"/>
      <c r="G10" s="10">
        <f t="shared" si="3"/>
        <v>583123</v>
      </c>
      <c r="H10" s="19">
        <f t="shared" si="4"/>
        <v>583123</v>
      </c>
      <c r="I10" s="19">
        <v>0</v>
      </c>
      <c r="J10" s="19">
        <v>616331</v>
      </c>
      <c r="K10" s="29">
        <f t="shared" si="5"/>
        <v>-5.6948534014264567</v>
      </c>
      <c r="L10" s="19" t="s">
        <v>58</v>
      </c>
      <c r="M10" s="23">
        <v>42775.39340277778</v>
      </c>
      <c r="N10" s="23"/>
      <c r="O10" s="179">
        <f t="shared" si="6"/>
        <v>100</v>
      </c>
      <c r="P10" s="19">
        <v>100</v>
      </c>
      <c r="Q10" s="19">
        <f t="shared" si="7"/>
        <v>0</v>
      </c>
      <c r="R10" s="19"/>
      <c r="S10" s="19">
        <f t="shared" si="8"/>
        <v>204945</v>
      </c>
      <c r="T10" s="19">
        <f t="shared" si="9"/>
        <v>204945</v>
      </c>
      <c r="U10" s="20">
        <f t="shared" si="10"/>
        <v>100</v>
      </c>
      <c r="V10" s="19">
        <v>378178</v>
      </c>
      <c r="W10" s="19">
        <v>378178</v>
      </c>
      <c r="X10" s="187">
        <f t="shared" si="11"/>
        <v>100</v>
      </c>
      <c r="Y10" s="20">
        <v>0</v>
      </c>
      <c r="Z10" s="20">
        <v>0</v>
      </c>
      <c r="AA10" s="20" t="str">
        <f t="shared" si="12"/>
        <v/>
      </c>
      <c r="AB10" s="20">
        <v>204945</v>
      </c>
      <c r="AC10" s="20">
        <v>204945</v>
      </c>
      <c r="AD10" s="20">
        <f t="shared" si="13"/>
        <v>100</v>
      </c>
      <c r="AE10" s="20">
        <f t="shared" si="14"/>
        <v>583123</v>
      </c>
      <c r="AF10" s="20">
        <f t="shared" si="15"/>
        <v>583123</v>
      </c>
      <c r="AG10" s="187">
        <f t="shared" si="16"/>
        <v>100</v>
      </c>
      <c r="AH10" s="59" t="s">
        <v>434</v>
      </c>
      <c r="AI10" s="19" t="s">
        <v>52</v>
      </c>
      <c r="AL10" s="1" t="str">
        <f t="shared" si="17"/>
        <v/>
      </c>
      <c r="AM10" s="26">
        <f t="shared" si="18"/>
        <v>0</v>
      </c>
      <c r="AN10" s="26"/>
      <c r="AO10" s="26"/>
      <c r="AP10" s="181" t="s">
        <v>52</v>
      </c>
      <c r="AQ10" s="159">
        <v>183981</v>
      </c>
      <c r="AR10" s="159">
        <v>183981</v>
      </c>
      <c r="AS10" s="151">
        <f t="shared" si="19"/>
        <v>100</v>
      </c>
      <c r="AU10" s="26">
        <f t="shared" si="0"/>
        <v>20964</v>
      </c>
      <c r="AV10" s="26">
        <f t="shared" si="1"/>
        <v>20964</v>
      </c>
      <c r="AW10" s="26">
        <f t="shared" si="2"/>
        <v>0</v>
      </c>
      <c r="AX10" s="1">
        <v>4</v>
      </c>
    </row>
    <row r="11" spans="1:50" s="1" customFormat="1" x14ac:dyDescent="0.25">
      <c r="A11" s="173" t="s">
        <v>263</v>
      </c>
      <c r="B11" s="8">
        <v>8002266</v>
      </c>
      <c r="C11" s="8">
        <v>0</v>
      </c>
      <c r="D11" s="10">
        <v>1</v>
      </c>
      <c r="E11" s="10">
        <v>1</v>
      </c>
      <c r="F11" s="10"/>
      <c r="G11" s="10">
        <f t="shared" si="3"/>
        <v>563537</v>
      </c>
      <c r="H11" s="19">
        <f t="shared" si="4"/>
        <v>563537</v>
      </c>
      <c r="I11" s="19">
        <v>0</v>
      </c>
      <c r="J11" s="19">
        <v>424288</v>
      </c>
      <c r="K11" s="29">
        <f t="shared" si="5"/>
        <v>24.709823844751984</v>
      </c>
      <c r="L11" s="19" t="s">
        <v>58</v>
      </c>
      <c r="M11" s="23">
        <v>42775.348275462966</v>
      </c>
      <c r="N11" s="23"/>
      <c r="O11" s="179">
        <f t="shared" si="6"/>
        <v>100</v>
      </c>
      <c r="P11" s="19">
        <v>100</v>
      </c>
      <c r="Q11" s="19">
        <f t="shared" si="7"/>
        <v>0</v>
      </c>
      <c r="R11" s="19"/>
      <c r="S11" s="19">
        <f t="shared" si="8"/>
        <v>195903</v>
      </c>
      <c r="T11" s="19">
        <f t="shared" si="9"/>
        <v>195903</v>
      </c>
      <c r="U11" s="20">
        <f t="shared" si="10"/>
        <v>100</v>
      </c>
      <c r="V11" s="19">
        <v>367634</v>
      </c>
      <c r="W11" s="19">
        <v>367634</v>
      </c>
      <c r="X11" s="187">
        <f t="shared" si="11"/>
        <v>100</v>
      </c>
      <c r="Y11" s="19">
        <v>37052</v>
      </c>
      <c r="Z11" s="20">
        <v>37052</v>
      </c>
      <c r="AA11" s="20">
        <f t="shared" si="12"/>
        <v>100</v>
      </c>
      <c r="AB11" s="20">
        <v>158851</v>
      </c>
      <c r="AC11" s="20">
        <v>158851</v>
      </c>
      <c r="AD11" s="20">
        <f t="shared" si="13"/>
        <v>100</v>
      </c>
      <c r="AE11" s="20">
        <f t="shared" si="14"/>
        <v>526485</v>
      </c>
      <c r="AF11" s="20">
        <f t="shared" si="15"/>
        <v>526485</v>
      </c>
      <c r="AG11" s="187">
        <f t="shared" si="16"/>
        <v>100</v>
      </c>
      <c r="AH11" s="59">
        <v>0</v>
      </c>
      <c r="AI11" s="19" t="s">
        <v>52</v>
      </c>
      <c r="AL11" s="1" t="str">
        <f t="shared" si="17"/>
        <v/>
      </c>
      <c r="AM11" s="26">
        <f t="shared" si="18"/>
        <v>0</v>
      </c>
      <c r="AN11" s="26"/>
      <c r="AO11" s="26"/>
      <c r="AP11" s="181" t="s">
        <v>52</v>
      </c>
      <c r="AQ11" s="159">
        <v>155205</v>
      </c>
      <c r="AR11" s="159">
        <v>155205</v>
      </c>
      <c r="AS11" s="151">
        <f t="shared" si="19"/>
        <v>100</v>
      </c>
      <c r="AU11" s="26">
        <f t="shared" si="0"/>
        <v>40698</v>
      </c>
      <c r="AV11" s="26">
        <f t="shared" si="1"/>
        <v>40698</v>
      </c>
      <c r="AW11" s="26">
        <f t="shared" si="2"/>
        <v>0</v>
      </c>
      <c r="AX11" s="1">
        <v>4</v>
      </c>
    </row>
    <row r="12" spans="1:50" s="1" customFormat="1" x14ac:dyDescent="0.25">
      <c r="A12" s="173" t="s">
        <v>173</v>
      </c>
      <c r="B12" s="8">
        <v>8331537</v>
      </c>
      <c r="C12" s="8">
        <v>0</v>
      </c>
      <c r="D12" s="10">
        <v>1</v>
      </c>
      <c r="E12" s="10">
        <v>1</v>
      </c>
      <c r="F12" s="10"/>
      <c r="G12" s="10">
        <f t="shared" si="3"/>
        <v>499108</v>
      </c>
      <c r="H12" s="19">
        <f t="shared" si="4"/>
        <v>499108</v>
      </c>
      <c r="I12" s="19">
        <v>2248</v>
      </c>
      <c r="J12" s="19">
        <v>440020</v>
      </c>
      <c r="K12" s="29">
        <f t="shared" si="5"/>
        <v>11.83872027697412</v>
      </c>
      <c r="L12" s="19" t="s">
        <v>58</v>
      </c>
      <c r="M12" s="23">
        <v>42776.37773148148</v>
      </c>
      <c r="N12" s="23"/>
      <c r="O12" s="179">
        <f t="shared" si="6"/>
        <v>100</v>
      </c>
      <c r="P12" s="19">
        <v>95.57</v>
      </c>
      <c r="Q12" s="19">
        <f t="shared" si="7"/>
        <v>4</v>
      </c>
      <c r="R12" s="19"/>
      <c r="S12" s="19">
        <f t="shared" si="8"/>
        <v>172571</v>
      </c>
      <c r="T12" s="19">
        <f t="shared" si="9"/>
        <v>172571</v>
      </c>
      <c r="U12" s="20">
        <f t="shared" si="10"/>
        <v>100</v>
      </c>
      <c r="V12" s="19">
        <v>326537</v>
      </c>
      <c r="W12" s="19">
        <v>326537</v>
      </c>
      <c r="X12" s="187">
        <f t="shared" si="11"/>
        <v>100</v>
      </c>
      <c r="Y12" s="19">
        <v>69086</v>
      </c>
      <c r="Z12" s="20">
        <v>69086</v>
      </c>
      <c r="AA12" s="20">
        <f t="shared" si="12"/>
        <v>100</v>
      </c>
      <c r="AB12" s="20">
        <v>103485</v>
      </c>
      <c r="AC12" s="20">
        <v>103485</v>
      </c>
      <c r="AD12" s="20">
        <f t="shared" si="13"/>
        <v>100</v>
      </c>
      <c r="AE12" s="20">
        <f t="shared" si="14"/>
        <v>430022</v>
      </c>
      <c r="AF12" s="20">
        <f t="shared" si="15"/>
        <v>430022</v>
      </c>
      <c r="AG12" s="187">
        <f t="shared" si="16"/>
        <v>100</v>
      </c>
      <c r="AH12" s="59" t="s">
        <v>552</v>
      </c>
      <c r="AI12" s="19" t="s">
        <v>554</v>
      </c>
      <c r="AJ12" s="1">
        <v>20</v>
      </c>
      <c r="AK12" s="1">
        <v>40</v>
      </c>
      <c r="AL12" s="1">
        <f t="shared" si="17"/>
        <v>800</v>
      </c>
      <c r="AM12" s="26">
        <f t="shared" si="18"/>
        <v>0</v>
      </c>
      <c r="AN12" s="26"/>
      <c r="AO12" s="26"/>
      <c r="AP12" s="181">
        <v>43281</v>
      </c>
      <c r="AQ12" s="159">
        <v>103485</v>
      </c>
      <c r="AR12" s="159">
        <v>103485</v>
      </c>
      <c r="AS12" s="151">
        <f t="shared" si="19"/>
        <v>100</v>
      </c>
      <c r="AU12" s="26">
        <f t="shared" si="0"/>
        <v>69086</v>
      </c>
      <c r="AV12" s="26">
        <f t="shared" si="1"/>
        <v>69086</v>
      </c>
      <c r="AW12" s="26">
        <f t="shared" si="2"/>
        <v>0</v>
      </c>
      <c r="AX12" s="1">
        <v>4</v>
      </c>
    </row>
    <row r="13" spans="1:50" s="1" customFormat="1" x14ac:dyDescent="0.25">
      <c r="A13" s="141" t="s">
        <v>268</v>
      </c>
      <c r="B13" s="8">
        <v>71269</v>
      </c>
      <c r="C13" s="8">
        <v>0</v>
      </c>
      <c r="D13" s="10">
        <v>1</v>
      </c>
      <c r="E13" s="10">
        <v>1</v>
      </c>
      <c r="F13" s="10"/>
      <c r="G13" s="10">
        <f t="shared" si="3"/>
        <v>411579</v>
      </c>
      <c r="H13" s="19">
        <f t="shared" si="4"/>
        <v>411579</v>
      </c>
      <c r="I13" s="19">
        <v>0</v>
      </c>
      <c r="J13" s="19">
        <v>413445</v>
      </c>
      <c r="K13" s="29">
        <f t="shared" si="5"/>
        <v>-0.45337590110282588</v>
      </c>
      <c r="L13" s="19" t="s">
        <v>58</v>
      </c>
      <c r="M13" s="23"/>
      <c r="N13" s="23">
        <v>42754</v>
      </c>
      <c r="O13" s="179">
        <f t="shared" si="6"/>
        <v>100</v>
      </c>
      <c r="P13" s="19">
        <v>100</v>
      </c>
      <c r="Q13" s="19">
        <f t="shared" si="7"/>
        <v>0</v>
      </c>
      <c r="R13" s="19"/>
      <c r="S13" s="19">
        <f t="shared" si="8"/>
        <v>100414</v>
      </c>
      <c r="T13" s="19">
        <f t="shared" si="9"/>
        <v>100414</v>
      </c>
      <c r="U13" s="20">
        <f t="shared" si="10"/>
        <v>100</v>
      </c>
      <c r="V13" s="19">
        <v>311165</v>
      </c>
      <c r="W13" s="19">
        <v>311165</v>
      </c>
      <c r="X13" s="187">
        <f t="shared" si="11"/>
        <v>100</v>
      </c>
      <c r="Y13" s="19">
        <v>10742</v>
      </c>
      <c r="Z13" s="20">
        <v>10742</v>
      </c>
      <c r="AA13" s="20">
        <f t="shared" si="12"/>
        <v>100</v>
      </c>
      <c r="AB13" s="20">
        <v>89672</v>
      </c>
      <c r="AC13" s="20">
        <v>89672</v>
      </c>
      <c r="AD13" s="20">
        <f t="shared" si="13"/>
        <v>100</v>
      </c>
      <c r="AE13" s="20">
        <f t="shared" si="14"/>
        <v>400837</v>
      </c>
      <c r="AF13" s="20">
        <f t="shared" si="15"/>
        <v>400837</v>
      </c>
      <c r="AG13" s="187">
        <f t="shared" si="16"/>
        <v>100</v>
      </c>
      <c r="AH13" s="59" t="s">
        <v>348</v>
      </c>
      <c r="AI13" s="19" t="s">
        <v>548</v>
      </c>
      <c r="AL13" s="1" t="str">
        <f t="shared" si="17"/>
        <v/>
      </c>
      <c r="AM13" s="26">
        <f t="shared" si="18"/>
        <v>0</v>
      </c>
      <c r="AN13" s="26"/>
      <c r="AO13" s="26"/>
      <c r="AP13" s="181" t="s">
        <v>52</v>
      </c>
      <c r="AQ13" s="159">
        <v>101496</v>
      </c>
      <c r="AR13" s="159">
        <v>101496</v>
      </c>
      <c r="AS13" s="151">
        <f t="shared" si="19"/>
        <v>100</v>
      </c>
      <c r="AU13" s="26">
        <f t="shared" si="0"/>
        <v>-1082</v>
      </c>
      <c r="AV13" s="26">
        <f t="shared" si="1"/>
        <v>-1082</v>
      </c>
      <c r="AW13" s="26">
        <f t="shared" si="2"/>
        <v>0</v>
      </c>
      <c r="AX13" s="1">
        <v>2</v>
      </c>
    </row>
    <row r="14" spans="1:50" s="1" customFormat="1" x14ac:dyDescent="0.25">
      <c r="A14" s="141" t="s">
        <v>193</v>
      </c>
      <c r="B14" s="8">
        <v>8337152</v>
      </c>
      <c r="C14" s="8">
        <v>0</v>
      </c>
      <c r="D14" s="10">
        <v>1</v>
      </c>
      <c r="E14" s="10">
        <v>1</v>
      </c>
      <c r="F14" s="10"/>
      <c r="G14" s="10">
        <f t="shared" si="3"/>
        <v>457880</v>
      </c>
      <c r="H14" s="19">
        <f t="shared" si="4"/>
        <v>457880</v>
      </c>
      <c r="I14" s="19">
        <v>8208</v>
      </c>
      <c r="J14" s="19">
        <v>442589</v>
      </c>
      <c r="K14" s="29">
        <f t="shared" si="5"/>
        <v>3.3395212719489824</v>
      </c>
      <c r="L14" s="19" t="s">
        <v>58</v>
      </c>
      <c r="M14" s="23">
        <v>42559.311006944445</v>
      </c>
      <c r="N14" s="23">
        <v>42675</v>
      </c>
      <c r="O14" s="179">
        <f t="shared" si="6"/>
        <v>100</v>
      </c>
      <c r="P14" s="19">
        <v>84.3</v>
      </c>
      <c r="Q14" s="19">
        <f t="shared" si="7"/>
        <v>16</v>
      </c>
      <c r="R14" s="19"/>
      <c r="S14" s="19">
        <f t="shared" si="8"/>
        <v>159391</v>
      </c>
      <c r="T14" s="19">
        <f t="shared" si="9"/>
        <v>159391</v>
      </c>
      <c r="U14" s="20">
        <f t="shared" si="10"/>
        <v>100</v>
      </c>
      <c r="V14" s="19">
        <v>298489</v>
      </c>
      <c r="W14" s="19">
        <v>298489</v>
      </c>
      <c r="X14" s="187">
        <f t="shared" si="11"/>
        <v>100</v>
      </c>
      <c r="Y14" s="20">
        <v>24513</v>
      </c>
      <c r="Z14" s="20">
        <v>24513</v>
      </c>
      <c r="AA14" s="20">
        <f t="shared" si="12"/>
        <v>100</v>
      </c>
      <c r="AB14" s="20">
        <v>134878</v>
      </c>
      <c r="AC14" s="20">
        <v>134878</v>
      </c>
      <c r="AD14" s="20">
        <f t="shared" si="13"/>
        <v>100</v>
      </c>
      <c r="AE14" s="20">
        <f t="shared" si="14"/>
        <v>433367</v>
      </c>
      <c r="AF14" s="20">
        <f t="shared" si="15"/>
        <v>433367</v>
      </c>
      <c r="AG14" s="187">
        <f t="shared" si="16"/>
        <v>100</v>
      </c>
      <c r="AH14" s="59" t="s">
        <v>442</v>
      </c>
      <c r="AI14" s="19" t="s">
        <v>505</v>
      </c>
      <c r="AJ14" s="1">
        <v>10</v>
      </c>
      <c r="AK14" s="1">
        <v>120</v>
      </c>
      <c r="AL14" s="1">
        <f t="shared" si="17"/>
        <v>1200</v>
      </c>
      <c r="AM14" s="26">
        <f t="shared" si="18"/>
        <v>0</v>
      </c>
      <c r="AN14" s="26">
        <f>IF(AL14&gt;0,AM14/AL14,"")</f>
        <v>0</v>
      </c>
      <c r="AO14" s="26">
        <v>2442.4816247582203</v>
      </c>
      <c r="AP14" s="181" t="s">
        <v>52</v>
      </c>
      <c r="AQ14" s="159">
        <v>159391</v>
      </c>
      <c r="AR14" s="159">
        <v>134870</v>
      </c>
      <c r="AS14" s="151">
        <f t="shared" si="19"/>
        <v>84.615818960919995</v>
      </c>
      <c r="AU14" s="26">
        <f t="shared" si="0"/>
        <v>0</v>
      </c>
      <c r="AV14" s="26">
        <f t="shared" si="1"/>
        <v>24521</v>
      </c>
      <c r="AW14" s="26">
        <f t="shared" si="2"/>
        <v>15.384181039080005</v>
      </c>
      <c r="AX14" s="1">
        <v>2</v>
      </c>
    </row>
    <row r="15" spans="1:50" s="1" customFormat="1" x14ac:dyDescent="0.25">
      <c r="A15" s="173" t="s">
        <v>159</v>
      </c>
      <c r="B15" s="8">
        <v>7169981</v>
      </c>
      <c r="C15" s="8">
        <v>0</v>
      </c>
      <c r="D15" s="10">
        <v>1</v>
      </c>
      <c r="E15" s="10">
        <v>1</v>
      </c>
      <c r="F15" s="10"/>
      <c r="G15" s="10">
        <f t="shared" si="3"/>
        <v>364434</v>
      </c>
      <c r="H15" s="19">
        <f t="shared" si="4"/>
        <v>364434</v>
      </c>
      <c r="I15" s="19">
        <v>4834</v>
      </c>
      <c r="J15" s="19">
        <v>334759</v>
      </c>
      <c r="K15" s="29">
        <f t="shared" si="5"/>
        <v>8.1427638475005075</v>
      </c>
      <c r="L15" s="19" t="s">
        <v>58</v>
      </c>
      <c r="M15" s="23">
        <v>42776.324733796297</v>
      </c>
      <c r="N15" s="23"/>
      <c r="O15" s="179">
        <f t="shared" si="6"/>
        <v>100</v>
      </c>
      <c r="P15" s="19">
        <v>96</v>
      </c>
      <c r="Q15" s="19">
        <f t="shared" si="7"/>
        <v>4</v>
      </c>
      <c r="R15" s="19"/>
      <c r="S15" s="19">
        <f t="shared" si="8"/>
        <v>91965</v>
      </c>
      <c r="T15" s="19">
        <f t="shared" si="9"/>
        <v>91965</v>
      </c>
      <c r="U15" s="20">
        <f t="shared" si="10"/>
        <v>100</v>
      </c>
      <c r="V15" s="19">
        <v>272469</v>
      </c>
      <c r="W15" s="19">
        <v>272469</v>
      </c>
      <c r="X15" s="187">
        <f t="shared" si="11"/>
        <v>100</v>
      </c>
      <c r="Y15" s="19">
        <v>22825</v>
      </c>
      <c r="Z15" s="20">
        <v>22825</v>
      </c>
      <c r="AA15" s="20">
        <f t="shared" si="12"/>
        <v>100</v>
      </c>
      <c r="AB15" s="20">
        <v>69140</v>
      </c>
      <c r="AC15" s="20">
        <v>69140</v>
      </c>
      <c r="AD15" s="20">
        <f t="shared" si="13"/>
        <v>100</v>
      </c>
      <c r="AE15" s="20">
        <f t="shared" si="14"/>
        <v>341609</v>
      </c>
      <c r="AF15" s="20">
        <f t="shared" si="15"/>
        <v>341609</v>
      </c>
      <c r="AG15" s="187">
        <f t="shared" si="16"/>
        <v>100</v>
      </c>
      <c r="AH15" s="59" t="s">
        <v>456</v>
      </c>
      <c r="AI15" s="19" t="s">
        <v>52</v>
      </c>
      <c r="AJ15" s="1">
        <v>30</v>
      </c>
      <c r="AK15" s="1">
        <v>50</v>
      </c>
      <c r="AL15" s="1">
        <f t="shared" si="17"/>
        <v>1500</v>
      </c>
      <c r="AM15" s="26">
        <f t="shared" si="18"/>
        <v>0</v>
      </c>
      <c r="AN15" s="26">
        <f>IF(AL15&gt;0,AM15/AL15,"")</f>
        <v>0</v>
      </c>
      <c r="AO15" s="26">
        <v>21.51830161054173</v>
      </c>
      <c r="AP15" s="181" t="s">
        <v>52</v>
      </c>
      <c r="AQ15" s="159">
        <v>70068</v>
      </c>
      <c r="AR15" s="159">
        <v>70068</v>
      </c>
      <c r="AS15" s="151">
        <f t="shared" si="19"/>
        <v>100</v>
      </c>
      <c r="AU15" s="26">
        <f t="shared" si="0"/>
        <v>21897</v>
      </c>
      <c r="AV15" s="26">
        <f t="shared" si="1"/>
        <v>21897</v>
      </c>
      <c r="AW15" s="26">
        <f t="shared" si="2"/>
        <v>0</v>
      </c>
      <c r="AX15" s="1">
        <v>4</v>
      </c>
    </row>
    <row r="16" spans="1:50" s="1" customFormat="1" ht="12.75" customHeight="1" x14ac:dyDescent="0.25">
      <c r="A16" s="141" t="s">
        <v>269</v>
      </c>
      <c r="B16" s="8">
        <v>7179715</v>
      </c>
      <c r="C16" s="8">
        <v>0</v>
      </c>
      <c r="D16" s="10">
        <v>1</v>
      </c>
      <c r="E16" s="10">
        <v>1</v>
      </c>
      <c r="F16" s="10"/>
      <c r="G16" s="10">
        <f t="shared" si="3"/>
        <v>401018</v>
      </c>
      <c r="H16" s="19">
        <f t="shared" si="4"/>
        <v>401018</v>
      </c>
      <c r="I16" s="19">
        <v>0</v>
      </c>
      <c r="J16" s="19">
        <v>255382</v>
      </c>
      <c r="K16" s="29">
        <f t="shared" si="5"/>
        <v>36.31657431835977</v>
      </c>
      <c r="L16" s="19" t="s">
        <v>58</v>
      </c>
      <c r="M16" s="23">
        <v>42479.409108796295</v>
      </c>
      <c r="N16" s="23" t="s">
        <v>71</v>
      </c>
      <c r="O16" s="179">
        <f t="shared" si="6"/>
        <v>100</v>
      </c>
      <c r="P16" s="19">
        <v>100</v>
      </c>
      <c r="Q16" s="19">
        <f t="shared" si="7"/>
        <v>0</v>
      </c>
      <c r="R16" s="19"/>
      <c r="S16" s="19">
        <f t="shared" si="8"/>
        <v>134174</v>
      </c>
      <c r="T16" s="19">
        <f t="shared" si="9"/>
        <v>134174</v>
      </c>
      <c r="U16" s="20">
        <f t="shared" si="10"/>
        <v>100</v>
      </c>
      <c r="V16" s="19">
        <v>266844</v>
      </c>
      <c r="W16" s="19">
        <v>266844</v>
      </c>
      <c r="X16" s="187">
        <f t="shared" si="11"/>
        <v>100</v>
      </c>
      <c r="Y16" s="19">
        <v>11880</v>
      </c>
      <c r="Z16" s="20">
        <v>11880</v>
      </c>
      <c r="AA16" s="20">
        <f t="shared" si="12"/>
        <v>100</v>
      </c>
      <c r="AB16" s="20">
        <v>122294</v>
      </c>
      <c r="AC16" s="20">
        <v>122294</v>
      </c>
      <c r="AD16" s="20">
        <f t="shared" si="13"/>
        <v>100</v>
      </c>
      <c r="AE16" s="20">
        <f t="shared" si="14"/>
        <v>389138</v>
      </c>
      <c r="AF16" s="20">
        <f t="shared" si="15"/>
        <v>389138</v>
      </c>
      <c r="AG16" s="187">
        <f t="shared" si="16"/>
        <v>100</v>
      </c>
      <c r="AH16" s="59" t="s">
        <v>349</v>
      </c>
      <c r="AI16" s="19" t="s">
        <v>466</v>
      </c>
      <c r="AJ16" s="1" t="s">
        <v>86</v>
      </c>
      <c r="AL16" s="1" t="str">
        <f t="shared" si="17"/>
        <v/>
      </c>
      <c r="AM16" s="26">
        <f t="shared" si="18"/>
        <v>0</v>
      </c>
      <c r="AN16" s="26"/>
      <c r="AO16" s="26"/>
      <c r="AP16" s="181" t="s">
        <v>52</v>
      </c>
      <c r="AQ16" s="159">
        <v>134174</v>
      </c>
      <c r="AR16" s="159">
        <v>134174</v>
      </c>
      <c r="AS16" s="151">
        <f t="shared" si="19"/>
        <v>100</v>
      </c>
      <c r="AU16" s="26">
        <f t="shared" si="0"/>
        <v>0</v>
      </c>
      <c r="AV16" s="26">
        <f t="shared" si="1"/>
        <v>0</v>
      </c>
      <c r="AW16" s="26">
        <f t="shared" si="2"/>
        <v>0</v>
      </c>
      <c r="AX16" s="1">
        <v>2</v>
      </c>
    </row>
    <row r="17" spans="1:50" s="1" customFormat="1" x14ac:dyDescent="0.25">
      <c r="A17" s="141" t="s">
        <v>129</v>
      </c>
      <c r="B17" s="8">
        <v>7137010</v>
      </c>
      <c r="C17" s="8">
        <v>0</v>
      </c>
      <c r="D17" s="10">
        <v>1</v>
      </c>
      <c r="E17" s="10">
        <v>1</v>
      </c>
      <c r="F17" s="10"/>
      <c r="G17" s="10">
        <f t="shared" si="3"/>
        <v>392836</v>
      </c>
      <c r="H17" s="19">
        <f t="shared" si="4"/>
        <v>392836</v>
      </c>
      <c r="I17" s="19">
        <v>3885</v>
      </c>
      <c r="J17" s="19">
        <v>353111</v>
      </c>
      <c r="K17" s="29">
        <f t="shared" si="5"/>
        <v>10.112362410777017</v>
      </c>
      <c r="L17" s="19" t="s">
        <v>58</v>
      </c>
      <c r="M17" s="23">
        <v>42564.646932870368</v>
      </c>
      <c r="N17" s="23"/>
      <c r="O17" s="179">
        <f t="shared" si="6"/>
        <v>100</v>
      </c>
      <c r="P17" s="19">
        <v>68.72</v>
      </c>
      <c r="Q17" s="19">
        <f t="shared" si="7"/>
        <v>31</v>
      </c>
      <c r="R17" s="19"/>
      <c r="S17" s="19">
        <f t="shared" si="8"/>
        <v>135233</v>
      </c>
      <c r="T17" s="19">
        <f t="shared" si="9"/>
        <v>135233</v>
      </c>
      <c r="U17" s="20">
        <f t="shared" si="10"/>
        <v>100</v>
      </c>
      <c r="V17" s="19">
        <v>257603</v>
      </c>
      <c r="W17" s="19">
        <v>257603</v>
      </c>
      <c r="X17" s="187">
        <f t="shared" si="11"/>
        <v>100</v>
      </c>
      <c r="Y17" s="20">
        <v>29004</v>
      </c>
      <c r="Z17" s="20">
        <v>29004</v>
      </c>
      <c r="AA17" s="20">
        <f t="shared" si="12"/>
        <v>100</v>
      </c>
      <c r="AB17" s="20">
        <v>106229</v>
      </c>
      <c r="AC17" s="20">
        <v>106229</v>
      </c>
      <c r="AD17" s="20">
        <f t="shared" si="13"/>
        <v>100</v>
      </c>
      <c r="AE17" s="20">
        <f t="shared" si="14"/>
        <v>363832</v>
      </c>
      <c r="AF17" s="20">
        <f t="shared" si="15"/>
        <v>363832</v>
      </c>
      <c r="AG17" s="187">
        <f t="shared" si="16"/>
        <v>100</v>
      </c>
      <c r="AH17" s="59" t="s">
        <v>477</v>
      </c>
      <c r="AI17" s="19">
        <v>0</v>
      </c>
      <c r="AJ17" s="1">
        <v>18</v>
      </c>
      <c r="AK17" s="1">
        <v>22</v>
      </c>
      <c r="AL17" s="1">
        <f t="shared" si="17"/>
        <v>396</v>
      </c>
      <c r="AM17" s="26">
        <f t="shared" si="18"/>
        <v>0</v>
      </c>
      <c r="AN17" s="26">
        <f>IF(AL17&gt;0,AM17/AL17,"")</f>
        <v>0</v>
      </c>
      <c r="AO17" s="26">
        <v>45.726273726273725</v>
      </c>
      <c r="AP17" s="181" t="s">
        <v>480</v>
      </c>
      <c r="AQ17" s="159">
        <v>106229</v>
      </c>
      <c r="AR17" s="159">
        <v>63324</v>
      </c>
      <c r="AS17" s="151">
        <f t="shared" si="19"/>
        <v>59.610840730873868</v>
      </c>
      <c r="AU17" s="26">
        <f t="shared" si="0"/>
        <v>29004</v>
      </c>
      <c r="AV17" s="26">
        <f t="shared" si="1"/>
        <v>71909</v>
      </c>
      <c r="AW17" s="26">
        <f t="shared" si="2"/>
        <v>40.389159269126132</v>
      </c>
      <c r="AX17" s="1">
        <v>1</v>
      </c>
    </row>
    <row r="18" spans="1:50" s="1" customFormat="1" x14ac:dyDescent="0.25">
      <c r="A18" s="173" t="s">
        <v>190</v>
      </c>
      <c r="B18" s="8">
        <v>7222262</v>
      </c>
      <c r="C18" s="8">
        <v>0</v>
      </c>
      <c r="D18" s="10">
        <v>1</v>
      </c>
      <c r="E18" s="10">
        <v>1</v>
      </c>
      <c r="F18" s="10"/>
      <c r="G18" s="10">
        <f t="shared" si="3"/>
        <v>342021</v>
      </c>
      <c r="H18" s="19">
        <f t="shared" si="4"/>
        <v>342021</v>
      </c>
      <c r="I18" s="19">
        <v>1919</v>
      </c>
      <c r="J18" s="19">
        <v>339844</v>
      </c>
      <c r="K18" s="29">
        <f t="shared" si="5"/>
        <v>0.63651062361667854</v>
      </c>
      <c r="L18" s="19" t="s">
        <v>58</v>
      </c>
      <c r="M18" s="23">
        <v>42776.357974537037</v>
      </c>
      <c r="N18" s="23"/>
      <c r="O18" s="179">
        <f t="shared" si="6"/>
        <v>100</v>
      </c>
      <c r="P18" s="19">
        <v>99.26</v>
      </c>
      <c r="Q18" s="19">
        <f t="shared" si="7"/>
        <v>1</v>
      </c>
      <c r="R18" s="19"/>
      <c r="S18" s="19">
        <f t="shared" si="8"/>
        <v>91524</v>
      </c>
      <c r="T18" s="19">
        <f t="shared" si="9"/>
        <v>91524</v>
      </c>
      <c r="U18" s="20">
        <f t="shared" si="10"/>
        <v>100</v>
      </c>
      <c r="V18" s="19">
        <v>250497</v>
      </c>
      <c r="W18" s="19">
        <v>250497</v>
      </c>
      <c r="X18" s="187">
        <f t="shared" si="11"/>
        <v>100</v>
      </c>
      <c r="Y18" s="19">
        <v>6414</v>
      </c>
      <c r="Z18" s="20">
        <v>6414</v>
      </c>
      <c r="AA18" s="20">
        <f t="shared" si="12"/>
        <v>100</v>
      </c>
      <c r="AB18" s="20">
        <v>85110</v>
      </c>
      <c r="AC18" s="20">
        <v>85110</v>
      </c>
      <c r="AD18" s="20">
        <f t="shared" si="13"/>
        <v>100</v>
      </c>
      <c r="AE18" s="20">
        <f t="shared" si="14"/>
        <v>335607</v>
      </c>
      <c r="AF18" s="20">
        <f t="shared" si="15"/>
        <v>335607</v>
      </c>
      <c r="AG18" s="187">
        <f t="shared" si="16"/>
        <v>100</v>
      </c>
      <c r="AH18" s="59" t="s">
        <v>350</v>
      </c>
      <c r="AI18" s="19" t="s">
        <v>52</v>
      </c>
      <c r="AJ18" s="1">
        <v>6</v>
      </c>
      <c r="AK18" s="1">
        <v>50</v>
      </c>
      <c r="AL18" s="1">
        <f t="shared" si="17"/>
        <v>300</v>
      </c>
      <c r="AM18" s="26">
        <f t="shared" si="18"/>
        <v>0</v>
      </c>
      <c r="AN18" s="26">
        <f>IF(AL18&gt;0,AM18/AL18,"")</f>
        <v>0</v>
      </c>
      <c r="AO18" s="26">
        <v>7.4684052156469409</v>
      </c>
      <c r="AP18" s="181" t="s">
        <v>52</v>
      </c>
      <c r="AQ18" s="159">
        <v>84423</v>
      </c>
      <c r="AR18" s="159">
        <v>84423</v>
      </c>
      <c r="AS18" s="151">
        <f t="shared" si="19"/>
        <v>100</v>
      </c>
      <c r="AU18" s="26">
        <f t="shared" si="0"/>
        <v>7101</v>
      </c>
      <c r="AV18" s="26">
        <f t="shared" si="1"/>
        <v>7101</v>
      </c>
      <c r="AW18" s="26">
        <f t="shared" si="2"/>
        <v>0</v>
      </c>
      <c r="AX18" s="1">
        <v>4</v>
      </c>
    </row>
    <row r="19" spans="1:50" s="1" customFormat="1" x14ac:dyDescent="0.25">
      <c r="A19" s="173" t="s">
        <v>266</v>
      </c>
      <c r="B19" s="8">
        <v>8898774</v>
      </c>
      <c r="C19" s="8">
        <v>0</v>
      </c>
      <c r="D19" s="10">
        <v>1</v>
      </c>
      <c r="E19" s="10">
        <v>1</v>
      </c>
      <c r="F19" s="10"/>
      <c r="G19" s="10">
        <f t="shared" si="3"/>
        <v>428451</v>
      </c>
      <c r="H19" s="19">
        <f t="shared" si="4"/>
        <v>428451</v>
      </c>
      <c r="I19" s="19">
        <v>0</v>
      </c>
      <c r="J19" s="19">
        <v>428729</v>
      </c>
      <c r="K19" s="29">
        <f t="shared" si="5"/>
        <v>-6.488489932337653E-2</v>
      </c>
      <c r="L19" s="19" t="s">
        <v>58</v>
      </c>
      <c r="M19" s="23">
        <v>42772.599687499998</v>
      </c>
      <c r="N19" s="23"/>
      <c r="O19" s="179">
        <f t="shared" si="6"/>
        <v>100</v>
      </c>
      <c r="P19" s="19">
        <v>100</v>
      </c>
      <c r="Q19" s="19">
        <f t="shared" si="7"/>
        <v>0</v>
      </c>
      <c r="R19" s="19"/>
      <c r="S19" s="19">
        <f t="shared" si="8"/>
        <v>178369</v>
      </c>
      <c r="T19" s="19">
        <f t="shared" si="9"/>
        <v>178369</v>
      </c>
      <c r="U19" s="20">
        <f t="shared" si="10"/>
        <v>100</v>
      </c>
      <c r="V19" s="19">
        <v>250082</v>
      </c>
      <c r="W19" s="19">
        <v>250082</v>
      </c>
      <c r="X19" s="187">
        <f t="shared" si="11"/>
        <v>100</v>
      </c>
      <c r="Y19" s="19">
        <v>100842</v>
      </c>
      <c r="Z19" s="20">
        <v>100842</v>
      </c>
      <c r="AA19" s="20">
        <f t="shared" si="12"/>
        <v>100</v>
      </c>
      <c r="AB19" s="20">
        <v>77527</v>
      </c>
      <c r="AC19" s="20">
        <v>77527</v>
      </c>
      <c r="AD19" s="20">
        <f t="shared" si="13"/>
        <v>100</v>
      </c>
      <c r="AE19" s="20">
        <f t="shared" si="14"/>
        <v>327609</v>
      </c>
      <c r="AF19" s="20">
        <f t="shared" si="15"/>
        <v>327609</v>
      </c>
      <c r="AG19" s="187">
        <f t="shared" si="16"/>
        <v>100</v>
      </c>
      <c r="AH19" s="59" t="s">
        <v>347</v>
      </c>
      <c r="AI19" s="19" t="s">
        <v>480</v>
      </c>
      <c r="AL19" s="1" t="str">
        <f t="shared" si="17"/>
        <v/>
      </c>
      <c r="AM19" s="26">
        <f t="shared" si="18"/>
        <v>0</v>
      </c>
      <c r="AN19" s="26"/>
      <c r="AO19" s="26"/>
      <c r="AP19" s="181" t="s">
        <v>52</v>
      </c>
      <c r="AQ19" s="159">
        <v>145353</v>
      </c>
      <c r="AR19" s="159">
        <v>145353</v>
      </c>
      <c r="AS19" s="151">
        <f t="shared" si="19"/>
        <v>100</v>
      </c>
      <c r="AU19" s="26">
        <f t="shared" si="0"/>
        <v>33016</v>
      </c>
      <c r="AV19" s="26">
        <f t="shared" si="1"/>
        <v>33016</v>
      </c>
      <c r="AW19" s="26">
        <f t="shared" si="2"/>
        <v>0</v>
      </c>
      <c r="AX19" s="1">
        <v>4</v>
      </c>
    </row>
    <row r="20" spans="1:50" s="8" customFormat="1" x14ac:dyDescent="0.25">
      <c r="A20" s="142" t="s">
        <v>33</v>
      </c>
      <c r="B20" s="8">
        <v>0</v>
      </c>
      <c r="C20" s="8">
        <v>1</v>
      </c>
      <c r="D20" s="10">
        <v>1</v>
      </c>
      <c r="E20" s="10">
        <v>1</v>
      </c>
      <c r="F20" s="10"/>
      <c r="G20" s="10">
        <f t="shared" si="3"/>
        <v>300897</v>
      </c>
      <c r="H20" s="19">
        <f t="shared" si="4"/>
        <v>300897</v>
      </c>
      <c r="I20" s="19">
        <v>0</v>
      </c>
      <c r="J20" s="19">
        <v>299399</v>
      </c>
      <c r="K20" s="29">
        <f t="shared" si="5"/>
        <v>0.49784477744876149</v>
      </c>
      <c r="L20" s="19" t="s">
        <v>58</v>
      </c>
      <c r="M20" s="23">
        <v>42263.342488425929</v>
      </c>
      <c r="N20" s="23">
        <v>42524</v>
      </c>
      <c r="O20" s="179">
        <f t="shared" si="6"/>
        <v>100</v>
      </c>
      <c r="P20" s="19">
        <v>100</v>
      </c>
      <c r="Q20" s="19">
        <f t="shared" si="7"/>
        <v>0</v>
      </c>
      <c r="R20" s="19"/>
      <c r="S20" s="19">
        <f t="shared" si="8"/>
        <v>52283</v>
      </c>
      <c r="T20" s="19">
        <f t="shared" si="9"/>
        <v>52283</v>
      </c>
      <c r="U20" s="20">
        <f t="shared" si="10"/>
        <v>100</v>
      </c>
      <c r="V20" s="19">
        <v>248614</v>
      </c>
      <c r="W20" s="19">
        <v>248614</v>
      </c>
      <c r="X20" s="20">
        <f t="shared" si="11"/>
        <v>100</v>
      </c>
      <c r="Y20" s="19">
        <v>4080</v>
      </c>
      <c r="Z20" s="20">
        <v>4080</v>
      </c>
      <c r="AA20" s="20">
        <f t="shared" si="12"/>
        <v>100</v>
      </c>
      <c r="AB20" s="20">
        <v>48203</v>
      </c>
      <c r="AC20" s="20">
        <v>48203</v>
      </c>
      <c r="AD20" s="20">
        <f t="shared" si="13"/>
        <v>100</v>
      </c>
      <c r="AE20" s="20">
        <f t="shared" si="14"/>
        <v>296817</v>
      </c>
      <c r="AF20" s="20">
        <f t="shared" si="15"/>
        <v>296817</v>
      </c>
      <c r="AG20" s="20">
        <f t="shared" si="16"/>
        <v>100</v>
      </c>
      <c r="AH20" s="59" t="s">
        <v>345</v>
      </c>
      <c r="AI20" s="19" t="s">
        <v>52</v>
      </c>
      <c r="AJ20" s="1"/>
      <c r="AK20" s="1"/>
      <c r="AL20" s="1" t="str">
        <f t="shared" si="17"/>
        <v/>
      </c>
      <c r="AM20" s="26">
        <f t="shared" si="18"/>
        <v>0</v>
      </c>
      <c r="AN20" s="1"/>
      <c r="AO20" s="26"/>
      <c r="AP20" s="181" t="s">
        <v>52</v>
      </c>
      <c r="AQ20" s="159">
        <v>120744</v>
      </c>
      <c r="AR20" s="159">
        <v>120744</v>
      </c>
      <c r="AS20" s="151">
        <f t="shared" si="19"/>
        <v>100</v>
      </c>
      <c r="AT20" s="1"/>
      <c r="AU20" s="26">
        <f t="shared" si="0"/>
        <v>-68461</v>
      </c>
      <c r="AV20" s="26">
        <f t="shared" si="1"/>
        <v>-68461</v>
      </c>
      <c r="AW20" s="26">
        <f t="shared" si="2"/>
        <v>0</v>
      </c>
      <c r="AX20" s="1">
        <v>2</v>
      </c>
    </row>
    <row r="21" spans="1:50" s="1" customFormat="1" ht="14.25" customHeight="1" x14ac:dyDescent="0.25">
      <c r="A21" s="173" t="s">
        <v>206</v>
      </c>
      <c r="B21" s="8">
        <v>7157983</v>
      </c>
      <c r="C21" s="8">
        <v>0</v>
      </c>
      <c r="D21" s="10">
        <v>1</v>
      </c>
      <c r="E21" s="10">
        <v>1</v>
      </c>
      <c r="F21" s="10"/>
      <c r="G21" s="10">
        <f t="shared" si="3"/>
        <v>305342</v>
      </c>
      <c r="H21" s="19">
        <f t="shared" si="4"/>
        <v>305342</v>
      </c>
      <c r="I21" s="19">
        <v>183</v>
      </c>
      <c r="J21" s="19">
        <v>204993</v>
      </c>
      <c r="K21" s="29">
        <f t="shared" si="5"/>
        <v>32.864460179077888</v>
      </c>
      <c r="L21" s="19" t="s">
        <v>58</v>
      </c>
      <c r="M21" s="23">
        <v>42769.614178240743</v>
      </c>
      <c r="N21" s="23"/>
      <c r="O21" s="179">
        <f t="shared" si="6"/>
        <v>100</v>
      </c>
      <c r="P21" s="19">
        <v>83.2</v>
      </c>
      <c r="Q21" s="19">
        <f t="shared" si="7"/>
        <v>17</v>
      </c>
      <c r="R21" s="19"/>
      <c r="S21" s="19">
        <f t="shared" si="8"/>
        <v>57584</v>
      </c>
      <c r="T21" s="19">
        <f t="shared" si="9"/>
        <v>57584</v>
      </c>
      <c r="U21" s="20">
        <f t="shared" si="10"/>
        <v>100</v>
      </c>
      <c r="V21" s="19">
        <v>247758</v>
      </c>
      <c r="W21" s="19">
        <v>247758</v>
      </c>
      <c r="X21" s="187">
        <f t="shared" si="11"/>
        <v>100</v>
      </c>
      <c r="Y21" s="20">
        <v>3894</v>
      </c>
      <c r="Z21" s="20">
        <v>3894</v>
      </c>
      <c r="AA21" s="20">
        <f t="shared" si="12"/>
        <v>100</v>
      </c>
      <c r="AB21" s="20">
        <v>53690</v>
      </c>
      <c r="AC21" s="20">
        <v>53690</v>
      </c>
      <c r="AD21" s="20">
        <f t="shared" si="13"/>
        <v>100</v>
      </c>
      <c r="AE21" s="20">
        <f t="shared" si="14"/>
        <v>301448</v>
      </c>
      <c r="AF21" s="20">
        <f t="shared" si="15"/>
        <v>301448</v>
      </c>
      <c r="AG21" s="187">
        <f t="shared" si="16"/>
        <v>100</v>
      </c>
      <c r="AH21" s="59" t="s">
        <v>425</v>
      </c>
      <c r="AI21" s="19" t="s">
        <v>52</v>
      </c>
      <c r="AJ21" s="1">
        <v>10</v>
      </c>
      <c r="AK21" s="1">
        <v>15</v>
      </c>
      <c r="AL21" s="1">
        <f t="shared" si="17"/>
        <v>150</v>
      </c>
      <c r="AM21" s="26">
        <f t="shared" si="18"/>
        <v>0</v>
      </c>
      <c r="AN21" s="26">
        <f>IF(AL21&gt;0,AM21/AL21,"")</f>
        <v>0</v>
      </c>
      <c r="AO21" s="26">
        <v>36.359486447931531</v>
      </c>
      <c r="AP21" s="181">
        <v>43174</v>
      </c>
      <c r="AQ21" s="159">
        <v>53690</v>
      </c>
      <c r="AR21" s="159">
        <v>42603</v>
      </c>
      <c r="AS21" s="151">
        <f t="shared" si="19"/>
        <v>79.349972061836468</v>
      </c>
      <c r="AU21" s="26">
        <f t="shared" si="0"/>
        <v>3894</v>
      </c>
      <c r="AV21" s="26">
        <f t="shared" si="1"/>
        <v>14981</v>
      </c>
      <c r="AW21" s="26">
        <f t="shared" si="2"/>
        <v>20.650027938163532</v>
      </c>
      <c r="AX21" s="1">
        <v>4</v>
      </c>
    </row>
    <row r="22" spans="1:50" s="1" customFormat="1" ht="13.5" customHeight="1" x14ac:dyDescent="0.25">
      <c r="A22" s="142" t="s">
        <v>150</v>
      </c>
      <c r="B22">
        <v>7193807</v>
      </c>
      <c r="C22" s="8">
        <v>1</v>
      </c>
      <c r="D22" s="10">
        <v>1</v>
      </c>
      <c r="E22" s="10">
        <v>1</v>
      </c>
      <c r="F22" s="13"/>
      <c r="G22" s="10">
        <f t="shared" si="3"/>
        <v>250026</v>
      </c>
      <c r="H22" s="19">
        <f t="shared" si="4"/>
        <v>250026</v>
      </c>
      <c r="I22" s="19">
        <v>79</v>
      </c>
      <c r="J22" s="19">
        <v>239021</v>
      </c>
      <c r="K22" s="29">
        <f t="shared" si="5"/>
        <v>4.4015422396070809</v>
      </c>
      <c r="L22" s="19" t="s">
        <v>58</v>
      </c>
      <c r="M22" s="23"/>
      <c r="N22" s="23">
        <v>42697</v>
      </c>
      <c r="O22" s="179">
        <f t="shared" si="6"/>
        <v>100</v>
      </c>
      <c r="P22" s="21">
        <v>98.5</v>
      </c>
      <c r="Q22" s="19">
        <f t="shared" si="7"/>
        <v>2</v>
      </c>
      <c r="R22" s="19"/>
      <c r="S22" s="19">
        <f t="shared" si="8"/>
        <v>16720</v>
      </c>
      <c r="T22" s="19">
        <f t="shared" si="9"/>
        <v>16720</v>
      </c>
      <c r="U22" s="20">
        <f t="shared" si="10"/>
        <v>100</v>
      </c>
      <c r="V22" s="19">
        <v>233306</v>
      </c>
      <c r="W22" s="22">
        <v>233306</v>
      </c>
      <c r="X22" s="20">
        <f t="shared" si="11"/>
        <v>100</v>
      </c>
      <c r="Y22" s="20">
        <v>0</v>
      </c>
      <c r="Z22" s="20">
        <v>0</v>
      </c>
      <c r="AA22" s="20" t="str">
        <f t="shared" si="12"/>
        <v/>
      </c>
      <c r="AB22" s="20">
        <v>16720</v>
      </c>
      <c r="AC22" s="20">
        <v>16720</v>
      </c>
      <c r="AD22" s="20">
        <f t="shared" si="13"/>
        <v>100</v>
      </c>
      <c r="AE22" s="20">
        <f t="shared" si="14"/>
        <v>250026</v>
      </c>
      <c r="AF22" s="20">
        <f t="shared" si="15"/>
        <v>250026</v>
      </c>
      <c r="AG22" s="20">
        <f t="shared" si="16"/>
        <v>100</v>
      </c>
      <c r="AH22" s="59" t="s">
        <v>536</v>
      </c>
      <c r="AI22" s="19" t="s">
        <v>52</v>
      </c>
      <c r="AL22" s="1" t="str">
        <f t="shared" si="17"/>
        <v/>
      </c>
      <c r="AM22" s="26">
        <f t="shared" si="18"/>
        <v>0</v>
      </c>
      <c r="AN22" s="26" t="e">
        <f>IF(AL22&gt;0,AM22/AL22,"")</f>
        <v>#VALUE!</v>
      </c>
      <c r="AO22" s="26">
        <v>12.782881002087683</v>
      </c>
      <c r="AP22" s="181">
        <v>43190</v>
      </c>
      <c r="AQ22" s="159">
        <v>16720</v>
      </c>
      <c r="AR22" s="22">
        <v>13631</v>
      </c>
      <c r="AS22" s="151">
        <f t="shared" si="19"/>
        <v>81.525119617224888</v>
      </c>
      <c r="AU22" s="26">
        <f t="shared" si="0"/>
        <v>0</v>
      </c>
      <c r="AV22" s="26">
        <f t="shared" si="1"/>
        <v>3089</v>
      </c>
      <c r="AW22" s="26">
        <f t="shared" si="2"/>
        <v>18.474880382775112</v>
      </c>
      <c r="AX22" s="1">
        <v>2</v>
      </c>
    </row>
    <row r="23" spans="1:50" s="1" customFormat="1" ht="15.75" customHeight="1" x14ac:dyDescent="0.25">
      <c r="A23" s="174" t="s">
        <v>155</v>
      </c>
      <c r="B23" s="8" t="s">
        <v>239</v>
      </c>
      <c r="C23" s="8">
        <v>1</v>
      </c>
      <c r="D23" s="10">
        <v>1</v>
      </c>
      <c r="E23" s="10">
        <v>1</v>
      </c>
      <c r="F23" s="10"/>
      <c r="G23" s="10">
        <f t="shared" si="3"/>
        <v>249652</v>
      </c>
      <c r="H23" s="19">
        <f t="shared" si="4"/>
        <v>249652</v>
      </c>
      <c r="I23" s="19">
        <v>0</v>
      </c>
      <c r="J23" s="19">
        <v>200032</v>
      </c>
      <c r="K23" s="29">
        <f t="shared" si="5"/>
        <v>19.875666928364282</v>
      </c>
      <c r="L23" s="19" t="s">
        <v>58</v>
      </c>
      <c r="M23" s="23">
        <v>42776.321921296294</v>
      </c>
      <c r="N23" s="23"/>
      <c r="O23" s="179">
        <f t="shared" si="6"/>
        <v>100</v>
      </c>
      <c r="P23" s="19">
        <v>85.3</v>
      </c>
      <c r="Q23" s="19">
        <f t="shared" si="7"/>
        <v>15</v>
      </c>
      <c r="R23" s="19"/>
      <c r="S23" s="19">
        <f t="shared" si="8"/>
        <v>20020</v>
      </c>
      <c r="T23" s="19">
        <f t="shared" si="9"/>
        <v>20020</v>
      </c>
      <c r="U23" s="20">
        <f t="shared" si="10"/>
        <v>100</v>
      </c>
      <c r="V23" s="19">
        <v>229632</v>
      </c>
      <c r="W23" s="19">
        <v>229632</v>
      </c>
      <c r="X23" s="20">
        <f t="shared" si="11"/>
        <v>100</v>
      </c>
      <c r="Y23" s="20">
        <v>6492</v>
      </c>
      <c r="Z23" s="20">
        <v>6492</v>
      </c>
      <c r="AA23" s="20">
        <f t="shared" si="12"/>
        <v>100</v>
      </c>
      <c r="AB23" s="20">
        <v>13528</v>
      </c>
      <c r="AC23" s="20">
        <v>13528</v>
      </c>
      <c r="AD23" s="20">
        <f t="shared" si="13"/>
        <v>100</v>
      </c>
      <c r="AE23" s="20">
        <f t="shared" si="14"/>
        <v>243160</v>
      </c>
      <c r="AF23" s="20">
        <f t="shared" si="15"/>
        <v>243160</v>
      </c>
      <c r="AG23" s="20">
        <f t="shared" si="16"/>
        <v>100</v>
      </c>
      <c r="AH23" s="59" t="s">
        <v>123</v>
      </c>
      <c r="AI23" s="19" t="s">
        <v>537</v>
      </c>
      <c r="AL23" s="1" t="str">
        <f t="shared" si="17"/>
        <v/>
      </c>
      <c r="AM23" s="26">
        <f t="shared" si="18"/>
        <v>0</v>
      </c>
      <c r="AN23" s="26" t="e">
        <f>IF(AL23&gt;0,AM23/AL23,"")</f>
        <v>#VALUE!</v>
      </c>
      <c r="AO23" s="26">
        <v>72.106305367378852</v>
      </c>
      <c r="AP23" s="181">
        <v>43281</v>
      </c>
      <c r="AQ23" s="159">
        <v>20020</v>
      </c>
      <c r="AR23" s="159">
        <v>8698</v>
      </c>
      <c r="AS23" s="151">
        <f t="shared" si="19"/>
        <v>43.446553446553452</v>
      </c>
      <c r="AU23" s="26">
        <f t="shared" si="0"/>
        <v>0</v>
      </c>
      <c r="AV23" s="26">
        <f t="shared" si="1"/>
        <v>11322</v>
      </c>
      <c r="AW23" s="26">
        <f t="shared" si="2"/>
        <v>56.553446553446548</v>
      </c>
      <c r="AX23" s="1">
        <v>4</v>
      </c>
    </row>
    <row r="24" spans="1:50" s="1" customFormat="1" ht="13.5" customHeight="1" x14ac:dyDescent="0.25">
      <c r="A24" s="174" t="s">
        <v>26</v>
      </c>
      <c r="B24" s="8">
        <v>0</v>
      </c>
      <c r="C24" s="8">
        <v>1</v>
      </c>
      <c r="D24" s="10">
        <v>1</v>
      </c>
      <c r="E24" s="10">
        <v>1</v>
      </c>
      <c r="F24" s="10"/>
      <c r="G24" s="10">
        <f t="shared" si="3"/>
        <v>255166</v>
      </c>
      <c r="H24" s="19">
        <f t="shared" si="4"/>
        <v>255166</v>
      </c>
      <c r="I24" s="19">
        <v>0</v>
      </c>
      <c r="J24" s="19">
        <v>254274</v>
      </c>
      <c r="K24" s="29">
        <f t="shared" si="5"/>
        <v>0.34957635421647082</v>
      </c>
      <c r="L24" s="19" t="s">
        <v>58</v>
      </c>
      <c r="M24" s="23">
        <v>42774.505543981482</v>
      </c>
      <c r="N24" s="23"/>
      <c r="O24" s="179">
        <f t="shared" si="6"/>
        <v>100</v>
      </c>
      <c r="P24" s="19">
        <v>100</v>
      </c>
      <c r="Q24" s="19">
        <f t="shared" si="7"/>
        <v>0</v>
      </c>
      <c r="R24" s="19"/>
      <c r="S24" s="19">
        <f t="shared" si="8"/>
        <v>33179</v>
      </c>
      <c r="T24" s="19">
        <f t="shared" si="9"/>
        <v>33179</v>
      </c>
      <c r="U24" s="20">
        <f t="shared" si="10"/>
        <v>100</v>
      </c>
      <c r="V24" s="19">
        <v>221987</v>
      </c>
      <c r="W24" s="19">
        <v>221987</v>
      </c>
      <c r="X24" s="20">
        <f t="shared" si="11"/>
        <v>100</v>
      </c>
      <c r="Y24" s="19">
        <v>837</v>
      </c>
      <c r="Z24" s="20">
        <v>837</v>
      </c>
      <c r="AA24" s="20">
        <f t="shared" si="12"/>
        <v>100</v>
      </c>
      <c r="AB24" s="20">
        <v>32342</v>
      </c>
      <c r="AC24" s="20">
        <v>32342</v>
      </c>
      <c r="AD24" s="20">
        <f t="shared" si="13"/>
        <v>100</v>
      </c>
      <c r="AE24" s="20">
        <f t="shared" si="14"/>
        <v>254329</v>
      </c>
      <c r="AF24" s="20">
        <f t="shared" si="15"/>
        <v>254329</v>
      </c>
      <c r="AG24" s="20">
        <f t="shared" si="16"/>
        <v>100</v>
      </c>
      <c r="AH24" s="59">
        <v>0</v>
      </c>
      <c r="AI24" s="19" t="s">
        <v>512</v>
      </c>
      <c r="AL24" s="1" t="str">
        <f t="shared" si="17"/>
        <v/>
      </c>
      <c r="AM24" s="26">
        <f t="shared" si="18"/>
        <v>0</v>
      </c>
      <c r="AN24" s="26"/>
      <c r="AO24" s="26"/>
      <c r="AP24" s="181" t="s">
        <v>52</v>
      </c>
      <c r="AQ24" s="159">
        <v>31118</v>
      </c>
      <c r="AR24" s="159">
        <v>31118</v>
      </c>
      <c r="AS24" s="151">
        <f t="shared" si="19"/>
        <v>100</v>
      </c>
      <c r="AU24" s="26">
        <f t="shared" si="0"/>
        <v>2061</v>
      </c>
      <c r="AV24" s="26">
        <f t="shared" si="1"/>
        <v>2061</v>
      </c>
      <c r="AW24" s="26">
        <f t="shared" si="2"/>
        <v>0</v>
      </c>
      <c r="AX24" s="1">
        <v>4</v>
      </c>
    </row>
    <row r="25" spans="1:50" s="1" customFormat="1" ht="15" customHeight="1" x14ac:dyDescent="0.25">
      <c r="A25" s="141" t="s">
        <v>176</v>
      </c>
      <c r="B25" s="8">
        <v>0</v>
      </c>
      <c r="C25" s="8">
        <v>0</v>
      </c>
      <c r="D25" s="10">
        <v>1</v>
      </c>
      <c r="E25" s="10">
        <v>1</v>
      </c>
      <c r="F25" s="10"/>
      <c r="G25" s="10">
        <f t="shared" si="3"/>
        <v>283223</v>
      </c>
      <c r="H25" s="19">
        <f t="shared" si="4"/>
        <v>283223</v>
      </c>
      <c r="I25" s="19">
        <v>8497</v>
      </c>
      <c r="J25" s="19">
        <v>290004</v>
      </c>
      <c r="K25" s="29">
        <f t="shared" si="5"/>
        <v>-2.3942264575970174</v>
      </c>
      <c r="L25" s="19" t="s">
        <v>58</v>
      </c>
      <c r="M25" s="23">
        <v>41558.688194444447</v>
      </c>
      <c r="N25" s="23"/>
      <c r="O25" s="179">
        <f t="shared" si="6"/>
        <v>100</v>
      </c>
      <c r="P25" s="19">
        <v>92</v>
      </c>
      <c r="Q25" s="19">
        <f t="shared" si="7"/>
        <v>8</v>
      </c>
      <c r="R25" s="19"/>
      <c r="S25" s="19">
        <f t="shared" si="8"/>
        <v>76819</v>
      </c>
      <c r="T25" s="19">
        <f t="shared" si="9"/>
        <v>76819</v>
      </c>
      <c r="U25" s="20">
        <f t="shared" si="10"/>
        <v>100</v>
      </c>
      <c r="V25" s="19">
        <v>206404</v>
      </c>
      <c r="W25" s="19">
        <v>206404</v>
      </c>
      <c r="X25" s="187">
        <f t="shared" si="11"/>
        <v>100</v>
      </c>
      <c r="Y25" s="19">
        <v>7208</v>
      </c>
      <c r="Z25" s="20">
        <v>7208</v>
      </c>
      <c r="AA25" s="20">
        <f t="shared" si="12"/>
        <v>100</v>
      </c>
      <c r="AB25" s="20">
        <v>69611</v>
      </c>
      <c r="AC25" s="20">
        <v>69611</v>
      </c>
      <c r="AD25" s="20">
        <f t="shared" si="13"/>
        <v>100</v>
      </c>
      <c r="AE25" s="20">
        <f t="shared" si="14"/>
        <v>276015</v>
      </c>
      <c r="AF25" s="20">
        <f t="shared" si="15"/>
        <v>276015</v>
      </c>
      <c r="AG25" s="187">
        <f t="shared" si="16"/>
        <v>100</v>
      </c>
      <c r="AH25" s="59" t="s">
        <v>354</v>
      </c>
      <c r="AI25" s="19">
        <v>0</v>
      </c>
      <c r="AJ25" s="1">
        <v>19</v>
      </c>
      <c r="AK25" s="1">
        <v>50</v>
      </c>
      <c r="AL25" s="1">
        <f t="shared" si="17"/>
        <v>950</v>
      </c>
      <c r="AM25" s="26">
        <f t="shared" si="18"/>
        <v>0</v>
      </c>
      <c r="AN25" s="26"/>
      <c r="AO25" s="26"/>
      <c r="AP25" s="181" t="s">
        <v>52</v>
      </c>
      <c r="AQ25" s="159">
        <v>76819</v>
      </c>
      <c r="AR25" s="159">
        <v>76819</v>
      </c>
      <c r="AS25" s="151">
        <f t="shared" si="19"/>
        <v>100</v>
      </c>
      <c r="AT25" s="8"/>
      <c r="AU25" s="26">
        <f t="shared" si="0"/>
        <v>0</v>
      </c>
      <c r="AV25" s="26">
        <f t="shared" si="1"/>
        <v>0</v>
      </c>
      <c r="AW25" s="26">
        <f t="shared" si="2"/>
        <v>0</v>
      </c>
      <c r="AX25" s="1">
        <v>1</v>
      </c>
    </row>
    <row r="26" spans="1:50" s="1" customFormat="1" x14ac:dyDescent="0.25">
      <c r="A26" s="173" t="s">
        <v>274</v>
      </c>
      <c r="B26" s="8">
        <v>7189923</v>
      </c>
      <c r="C26" s="8">
        <v>0</v>
      </c>
      <c r="D26" s="10">
        <v>1</v>
      </c>
      <c r="E26" s="10">
        <v>1</v>
      </c>
      <c r="F26" s="10"/>
      <c r="G26" s="10">
        <f t="shared" si="3"/>
        <v>271764</v>
      </c>
      <c r="H26" s="19">
        <f t="shared" si="4"/>
        <v>271764</v>
      </c>
      <c r="I26" s="19">
        <v>0</v>
      </c>
      <c r="J26" s="19">
        <v>244352</v>
      </c>
      <c r="K26" s="29">
        <f t="shared" si="5"/>
        <v>10.086692865868915</v>
      </c>
      <c r="L26" s="19" t="s">
        <v>58</v>
      </c>
      <c r="M26" s="23">
        <v>42773.314305555556</v>
      </c>
      <c r="N26" s="23"/>
      <c r="O26" s="179">
        <f t="shared" si="6"/>
        <v>100</v>
      </c>
      <c r="P26" s="19">
        <v>92.6</v>
      </c>
      <c r="Q26" s="19">
        <f t="shared" si="7"/>
        <v>7</v>
      </c>
      <c r="R26" s="19"/>
      <c r="S26" s="19">
        <f t="shared" si="8"/>
        <v>73872</v>
      </c>
      <c r="T26" s="19">
        <f t="shared" si="9"/>
        <v>73872</v>
      </c>
      <c r="U26" s="20">
        <f t="shared" si="10"/>
        <v>100</v>
      </c>
      <c r="V26" s="19">
        <v>197892</v>
      </c>
      <c r="W26" s="19">
        <v>197892</v>
      </c>
      <c r="X26" s="187">
        <f t="shared" si="11"/>
        <v>100</v>
      </c>
      <c r="Y26" s="19">
        <v>4177</v>
      </c>
      <c r="Z26" s="20">
        <v>4177</v>
      </c>
      <c r="AA26" s="20">
        <f t="shared" si="12"/>
        <v>100</v>
      </c>
      <c r="AB26" s="20">
        <v>69695</v>
      </c>
      <c r="AC26" s="20">
        <v>69695</v>
      </c>
      <c r="AD26" s="20">
        <f t="shared" si="13"/>
        <v>100</v>
      </c>
      <c r="AE26" s="20">
        <f t="shared" si="14"/>
        <v>267587</v>
      </c>
      <c r="AF26" s="20">
        <f t="shared" si="15"/>
        <v>267587</v>
      </c>
      <c r="AG26" s="187">
        <f t="shared" si="16"/>
        <v>100</v>
      </c>
      <c r="AH26" s="59" t="s">
        <v>356</v>
      </c>
      <c r="AI26" s="19" t="s">
        <v>437</v>
      </c>
      <c r="AJ26" s="1">
        <v>20</v>
      </c>
      <c r="AK26" s="1">
        <v>65</v>
      </c>
      <c r="AL26" s="1">
        <f t="shared" si="17"/>
        <v>1300</v>
      </c>
      <c r="AM26" s="26">
        <f t="shared" si="18"/>
        <v>0</v>
      </c>
      <c r="AN26" s="26"/>
      <c r="AO26" s="26"/>
      <c r="AP26" s="181" t="s">
        <v>52</v>
      </c>
      <c r="AQ26" s="159">
        <v>48487</v>
      </c>
      <c r="AR26" s="159">
        <v>48487</v>
      </c>
      <c r="AS26" s="151">
        <f t="shared" si="19"/>
        <v>100</v>
      </c>
      <c r="AU26" s="26">
        <f t="shared" si="0"/>
        <v>25385</v>
      </c>
      <c r="AV26" s="26">
        <f t="shared" si="1"/>
        <v>25385</v>
      </c>
      <c r="AW26" s="26">
        <f t="shared" si="2"/>
        <v>0</v>
      </c>
      <c r="AX26" s="1">
        <v>4</v>
      </c>
    </row>
    <row r="27" spans="1:50" s="1" customFormat="1" x14ac:dyDescent="0.25">
      <c r="A27" s="143" t="s">
        <v>245</v>
      </c>
      <c r="B27" s="8">
        <v>0</v>
      </c>
      <c r="C27" s="8">
        <v>1</v>
      </c>
      <c r="D27" s="10">
        <v>1</v>
      </c>
      <c r="E27" s="10">
        <v>1</v>
      </c>
      <c r="F27" s="10"/>
      <c r="G27" s="10">
        <f t="shared" si="3"/>
        <v>243289</v>
      </c>
      <c r="H27" s="19">
        <f t="shared" si="4"/>
        <v>243289</v>
      </c>
      <c r="I27" s="19">
        <v>0</v>
      </c>
      <c r="J27" s="19">
        <v>156895</v>
      </c>
      <c r="K27" s="29">
        <f t="shared" si="5"/>
        <v>35.510853347253679</v>
      </c>
      <c r="L27" s="19" t="s">
        <v>58</v>
      </c>
      <c r="M27" s="23">
        <v>42264.483993055554</v>
      </c>
      <c r="N27" s="23">
        <v>42524</v>
      </c>
      <c r="O27" s="179">
        <f t="shared" si="6"/>
        <v>100</v>
      </c>
      <c r="P27" s="19">
        <v>100</v>
      </c>
      <c r="Q27" s="19">
        <f t="shared" si="7"/>
        <v>0</v>
      </c>
      <c r="R27" s="19"/>
      <c r="S27" s="19">
        <f t="shared" si="8"/>
        <v>47658</v>
      </c>
      <c r="T27" s="19">
        <f t="shared" si="9"/>
        <v>47658</v>
      </c>
      <c r="U27" s="20">
        <f t="shared" si="10"/>
        <v>100</v>
      </c>
      <c r="V27" s="19">
        <v>195631</v>
      </c>
      <c r="W27" s="19">
        <v>195631</v>
      </c>
      <c r="X27" s="20">
        <f t="shared" si="11"/>
        <v>100</v>
      </c>
      <c r="Y27" s="19">
        <v>2509</v>
      </c>
      <c r="Z27" s="20">
        <v>2509</v>
      </c>
      <c r="AA27" s="20">
        <f t="shared" si="12"/>
        <v>100</v>
      </c>
      <c r="AB27" s="20">
        <v>45149</v>
      </c>
      <c r="AC27" s="20">
        <v>45149</v>
      </c>
      <c r="AD27" s="20">
        <f t="shared" si="13"/>
        <v>100</v>
      </c>
      <c r="AE27" s="20">
        <f t="shared" si="14"/>
        <v>240780</v>
      </c>
      <c r="AF27" s="20">
        <f t="shared" si="15"/>
        <v>240780</v>
      </c>
      <c r="AG27" s="20">
        <f t="shared" si="16"/>
        <v>100</v>
      </c>
      <c r="AH27" s="59" t="s">
        <v>357</v>
      </c>
      <c r="AI27" s="19" t="s">
        <v>52</v>
      </c>
      <c r="AL27" s="1" t="str">
        <f t="shared" si="17"/>
        <v/>
      </c>
      <c r="AM27" s="26">
        <f t="shared" si="18"/>
        <v>0</v>
      </c>
      <c r="AO27" s="26"/>
      <c r="AP27" s="181" t="s">
        <v>52</v>
      </c>
      <c r="AQ27" s="159">
        <v>60523</v>
      </c>
      <c r="AR27" s="159">
        <v>60523</v>
      </c>
      <c r="AS27" s="151">
        <f t="shared" si="19"/>
        <v>100</v>
      </c>
      <c r="AU27" s="26">
        <f t="shared" si="0"/>
        <v>-12865</v>
      </c>
      <c r="AV27" s="26">
        <f t="shared" si="1"/>
        <v>-12865</v>
      </c>
      <c r="AW27" s="26">
        <f t="shared" si="2"/>
        <v>0</v>
      </c>
      <c r="AX27" s="1">
        <v>2</v>
      </c>
    </row>
    <row r="28" spans="1:50" s="1" customFormat="1" x14ac:dyDescent="0.25">
      <c r="A28" s="142" t="s">
        <v>34</v>
      </c>
      <c r="B28" s="8">
        <v>0</v>
      </c>
      <c r="C28" s="8">
        <v>1</v>
      </c>
      <c r="D28" s="10">
        <v>1</v>
      </c>
      <c r="E28" s="10">
        <v>1</v>
      </c>
      <c r="F28" s="10"/>
      <c r="G28" s="10">
        <f t="shared" si="3"/>
        <v>208524</v>
      </c>
      <c r="H28" s="19">
        <f t="shared" si="4"/>
        <v>208524</v>
      </c>
      <c r="I28" s="19">
        <v>0</v>
      </c>
      <c r="J28" s="19">
        <v>133187</v>
      </c>
      <c r="K28" s="29">
        <f t="shared" si="5"/>
        <v>36.128695018319235</v>
      </c>
      <c r="L28" s="19" t="s">
        <v>58</v>
      </c>
      <c r="M28" s="23">
        <v>42265.455821759257</v>
      </c>
      <c r="N28" s="23">
        <v>42524</v>
      </c>
      <c r="O28" s="179">
        <f t="shared" si="6"/>
        <v>100</v>
      </c>
      <c r="P28" s="19">
        <v>100</v>
      </c>
      <c r="Q28" s="19">
        <f t="shared" si="7"/>
        <v>0</v>
      </c>
      <c r="R28" s="19"/>
      <c r="S28" s="19">
        <f t="shared" si="8"/>
        <v>24029</v>
      </c>
      <c r="T28" s="19">
        <f t="shared" si="9"/>
        <v>24029</v>
      </c>
      <c r="U28" s="20">
        <f t="shared" si="10"/>
        <v>100</v>
      </c>
      <c r="V28" s="19">
        <v>184495</v>
      </c>
      <c r="W28" s="19">
        <v>184495</v>
      </c>
      <c r="X28" s="20">
        <f t="shared" si="11"/>
        <v>100</v>
      </c>
      <c r="Y28" s="19">
        <v>1784</v>
      </c>
      <c r="Z28" s="20">
        <v>1784</v>
      </c>
      <c r="AA28" s="20">
        <f t="shared" si="12"/>
        <v>100</v>
      </c>
      <c r="AB28" s="20">
        <v>22245</v>
      </c>
      <c r="AC28" s="20">
        <v>22245</v>
      </c>
      <c r="AD28" s="20">
        <f t="shared" si="13"/>
        <v>100</v>
      </c>
      <c r="AE28" s="20">
        <f t="shared" si="14"/>
        <v>206740</v>
      </c>
      <c r="AF28" s="20">
        <f t="shared" si="15"/>
        <v>206740</v>
      </c>
      <c r="AG28" s="20">
        <f t="shared" si="16"/>
        <v>100</v>
      </c>
      <c r="AH28" s="59" t="s">
        <v>359</v>
      </c>
      <c r="AI28" s="19" t="s">
        <v>52</v>
      </c>
      <c r="AL28" s="1" t="str">
        <f t="shared" si="17"/>
        <v/>
      </c>
      <c r="AM28" s="26">
        <f t="shared" si="18"/>
        <v>0</v>
      </c>
      <c r="AN28" s="26"/>
      <c r="AO28" s="26"/>
      <c r="AP28" s="181" t="s">
        <v>52</v>
      </c>
      <c r="AQ28" s="159">
        <v>52103</v>
      </c>
      <c r="AR28" s="159">
        <v>52103</v>
      </c>
      <c r="AS28" s="151">
        <f t="shared" si="19"/>
        <v>100</v>
      </c>
      <c r="AU28" s="26">
        <f t="shared" si="0"/>
        <v>-28074</v>
      </c>
      <c r="AV28" s="26">
        <f t="shared" si="1"/>
        <v>-28074</v>
      </c>
      <c r="AW28" s="26">
        <f t="shared" si="2"/>
        <v>0</v>
      </c>
      <c r="AX28" s="1">
        <v>2</v>
      </c>
    </row>
    <row r="29" spans="1:50" s="1" customFormat="1" x14ac:dyDescent="0.25">
      <c r="A29" s="141" t="s">
        <v>181</v>
      </c>
      <c r="B29" s="8">
        <v>7107625</v>
      </c>
      <c r="C29" s="8">
        <v>0</v>
      </c>
      <c r="D29" s="10">
        <v>1</v>
      </c>
      <c r="E29" s="10">
        <v>1</v>
      </c>
      <c r="F29" s="10"/>
      <c r="G29" s="10">
        <f t="shared" si="3"/>
        <v>287083</v>
      </c>
      <c r="H29" s="19">
        <f t="shared" si="4"/>
        <v>287083</v>
      </c>
      <c r="I29" s="19">
        <v>1430</v>
      </c>
      <c r="J29" s="19">
        <v>201243</v>
      </c>
      <c r="K29" s="29">
        <f t="shared" si="5"/>
        <v>29.900760407268979</v>
      </c>
      <c r="L29" s="19" t="s">
        <v>58</v>
      </c>
      <c r="M29" s="23">
        <v>42647.328333333331</v>
      </c>
      <c r="N29" s="23"/>
      <c r="O29" s="179">
        <f t="shared" si="6"/>
        <v>100</v>
      </c>
      <c r="P29" s="19">
        <v>16.13</v>
      </c>
      <c r="Q29" s="19">
        <f t="shared" si="7"/>
        <v>84</v>
      </c>
      <c r="R29" s="19"/>
      <c r="S29" s="19">
        <f t="shared" si="8"/>
        <v>105984</v>
      </c>
      <c r="T29" s="19">
        <f t="shared" si="9"/>
        <v>105984</v>
      </c>
      <c r="U29" s="20">
        <f t="shared" si="10"/>
        <v>100</v>
      </c>
      <c r="V29" s="19">
        <v>181099</v>
      </c>
      <c r="W29" s="19">
        <v>181099</v>
      </c>
      <c r="X29" s="187">
        <f t="shared" si="11"/>
        <v>100</v>
      </c>
      <c r="Y29" s="20">
        <v>3578</v>
      </c>
      <c r="Z29" s="20">
        <v>3578</v>
      </c>
      <c r="AA29" s="20">
        <f t="shared" si="12"/>
        <v>100</v>
      </c>
      <c r="AB29" s="20">
        <v>102406</v>
      </c>
      <c r="AC29" s="20">
        <v>102406</v>
      </c>
      <c r="AD29" s="20">
        <f t="shared" si="13"/>
        <v>100</v>
      </c>
      <c r="AE29" s="20">
        <f t="shared" si="14"/>
        <v>283505</v>
      </c>
      <c r="AF29" s="20">
        <f t="shared" si="15"/>
        <v>283505</v>
      </c>
      <c r="AG29" s="187">
        <f t="shared" si="16"/>
        <v>100</v>
      </c>
      <c r="AH29" s="59" t="s">
        <v>496</v>
      </c>
      <c r="AI29" s="19" t="s">
        <v>52</v>
      </c>
      <c r="AJ29" s="1">
        <v>7</v>
      </c>
      <c r="AK29" s="1">
        <v>329</v>
      </c>
      <c r="AL29" s="1">
        <f t="shared" si="17"/>
        <v>2303</v>
      </c>
      <c r="AM29" s="26">
        <f t="shared" si="18"/>
        <v>0</v>
      </c>
      <c r="AN29" s="26">
        <f>IF(AL29&gt;0,AM29/AL29,"")</f>
        <v>0</v>
      </c>
      <c r="AO29" s="26">
        <v>35.778616352201254</v>
      </c>
      <c r="AP29" s="181">
        <v>43465</v>
      </c>
      <c r="AQ29" s="159">
        <v>102409</v>
      </c>
      <c r="AR29" s="159">
        <v>56878</v>
      </c>
      <c r="AS29" s="151">
        <f t="shared" si="19"/>
        <v>55.540040426134418</v>
      </c>
      <c r="AU29" s="26">
        <f t="shared" si="0"/>
        <v>3575</v>
      </c>
      <c r="AV29" s="26">
        <f t="shared" si="1"/>
        <v>49106</v>
      </c>
      <c r="AW29" s="26">
        <f t="shared" si="2"/>
        <v>44.459959573865582</v>
      </c>
      <c r="AX29" s="1">
        <v>2</v>
      </c>
    </row>
    <row r="30" spans="1:50" s="1" customFormat="1" x14ac:dyDescent="0.25">
      <c r="A30" s="163" t="s">
        <v>89</v>
      </c>
      <c r="B30" t="s">
        <v>243</v>
      </c>
      <c r="C30" s="8">
        <v>1</v>
      </c>
      <c r="D30" s="10">
        <v>1</v>
      </c>
      <c r="E30" s="13">
        <v>1</v>
      </c>
      <c r="F30"/>
      <c r="G30" s="10">
        <f t="shared" si="3"/>
        <v>198204</v>
      </c>
      <c r="H30" s="19">
        <f t="shared" si="4"/>
        <v>198204</v>
      </c>
      <c r="I30" s="19">
        <v>15</v>
      </c>
      <c r="J30" s="19">
        <v>2784</v>
      </c>
      <c r="K30" s="29">
        <f t="shared" si="5"/>
        <v>98.595386571411268</v>
      </c>
      <c r="L30" s="19" t="s">
        <v>58</v>
      </c>
      <c r="M30" s="13"/>
      <c r="N30" s="13"/>
      <c r="O30" s="179">
        <f t="shared" si="6"/>
        <v>100</v>
      </c>
      <c r="P30"/>
      <c r="Q30"/>
      <c r="R30" s="19"/>
      <c r="S30" s="19">
        <f t="shared" si="8"/>
        <v>17802</v>
      </c>
      <c r="T30" s="19">
        <f t="shared" si="9"/>
        <v>17802</v>
      </c>
      <c r="U30" s="20">
        <f t="shared" si="10"/>
        <v>100</v>
      </c>
      <c r="V30" s="19">
        <v>180402</v>
      </c>
      <c r="W30">
        <v>180402</v>
      </c>
      <c r="X30" s="20">
        <f t="shared" si="11"/>
        <v>100</v>
      </c>
      <c r="Y30" s="164">
        <v>0</v>
      </c>
      <c r="Z30" s="20">
        <v>0</v>
      </c>
      <c r="AA30" s="20" t="str">
        <f t="shared" si="12"/>
        <v/>
      </c>
      <c r="AB30" s="20">
        <v>17802</v>
      </c>
      <c r="AC30" s="20">
        <v>17802</v>
      </c>
      <c r="AD30" s="20">
        <f t="shared" si="13"/>
        <v>100</v>
      </c>
      <c r="AE30" s="20">
        <f t="shared" si="14"/>
        <v>198204</v>
      </c>
      <c r="AF30" s="20">
        <f t="shared" si="15"/>
        <v>198204</v>
      </c>
      <c r="AG30" s="20">
        <f t="shared" si="16"/>
        <v>100</v>
      </c>
      <c r="AH30" s="59" t="s">
        <v>546</v>
      </c>
      <c r="AI30" s="19" t="s">
        <v>566</v>
      </c>
      <c r="AJ30"/>
      <c r="AK30"/>
      <c r="AL30"/>
      <c r="AM30" s="26">
        <f t="shared" si="18"/>
        <v>0</v>
      </c>
      <c r="AN30"/>
      <c r="AO30" s="26">
        <v>50323</v>
      </c>
      <c r="AP30" s="181">
        <v>43830</v>
      </c>
      <c r="AQ30" s="159">
        <v>12591</v>
      </c>
      <c r="AR30">
        <v>85</v>
      </c>
      <c r="AS30" s="151">
        <f t="shared" si="19"/>
        <v>0.675085378444921</v>
      </c>
      <c r="AT30"/>
      <c r="AU30" s="26">
        <f t="shared" si="0"/>
        <v>5211</v>
      </c>
      <c r="AV30" s="26">
        <f t="shared" si="1"/>
        <v>17717</v>
      </c>
      <c r="AW30" s="26">
        <f t="shared" si="2"/>
        <v>99.324914621555081</v>
      </c>
      <c r="AX30" s="1">
        <v>1</v>
      </c>
    </row>
    <row r="31" spans="1:50" s="1" customFormat="1" x14ac:dyDescent="0.25">
      <c r="A31" s="141" t="s">
        <v>142</v>
      </c>
      <c r="B31" s="8">
        <v>7115008</v>
      </c>
      <c r="C31" s="8">
        <v>0</v>
      </c>
      <c r="D31" s="10">
        <v>1</v>
      </c>
      <c r="E31" s="10">
        <v>1</v>
      </c>
      <c r="F31" s="10"/>
      <c r="G31" s="10">
        <f t="shared" si="3"/>
        <v>253791</v>
      </c>
      <c r="H31" s="19">
        <f t="shared" si="4"/>
        <v>253791</v>
      </c>
      <c r="I31" s="19">
        <v>6006</v>
      </c>
      <c r="J31" s="19">
        <v>277695</v>
      </c>
      <c r="K31" s="29">
        <f t="shared" si="5"/>
        <v>-9.4187737153799791</v>
      </c>
      <c r="L31" s="19" t="s">
        <v>58</v>
      </c>
      <c r="M31" s="23"/>
      <c r="N31" s="23" t="s">
        <v>74</v>
      </c>
      <c r="O31" s="179">
        <f t="shared" si="6"/>
        <v>100</v>
      </c>
      <c r="P31" s="19">
        <v>59.75</v>
      </c>
      <c r="Q31" s="19">
        <f>ROUND(O31-P31,0)</f>
        <v>40</v>
      </c>
      <c r="R31" s="19"/>
      <c r="S31" s="19">
        <f t="shared" si="8"/>
        <v>73871</v>
      </c>
      <c r="T31" s="19">
        <f t="shared" si="9"/>
        <v>73871</v>
      </c>
      <c r="U31" s="20">
        <f t="shared" si="10"/>
        <v>100</v>
      </c>
      <c r="V31" s="19">
        <v>179920</v>
      </c>
      <c r="W31" s="19">
        <v>179920</v>
      </c>
      <c r="X31" s="187">
        <f t="shared" si="11"/>
        <v>100</v>
      </c>
      <c r="Y31" s="20">
        <v>3117</v>
      </c>
      <c r="Z31" s="20">
        <v>3117</v>
      </c>
      <c r="AA31" s="20">
        <f t="shared" si="12"/>
        <v>100</v>
      </c>
      <c r="AB31" s="20">
        <v>70754</v>
      </c>
      <c r="AC31" s="20">
        <v>70754</v>
      </c>
      <c r="AD31" s="20">
        <f t="shared" si="13"/>
        <v>100</v>
      </c>
      <c r="AE31" s="20">
        <f t="shared" si="14"/>
        <v>250674</v>
      </c>
      <c r="AF31" s="20">
        <f t="shared" si="15"/>
        <v>250674</v>
      </c>
      <c r="AG31" s="187">
        <f t="shared" si="16"/>
        <v>100</v>
      </c>
      <c r="AH31" s="59" t="s">
        <v>410</v>
      </c>
      <c r="AI31" s="19" t="s">
        <v>535</v>
      </c>
      <c r="AJ31" s="1">
        <v>23</v>
      </c>
      <c r="AK31" s="1">
        <v>40</v>
      </c>
      <c r="AL31" s="1">
        <f t="shared" ref="AL31:AL62" si="20">IF(AK31&gt;0,AK31*AJ31,"")</f>
        <v>920</v>
      </c>
      <c r="AM31" s="26">
        <f t="shared" si="18"/>
        <v>0</v>
      </c>
      <c r="AN31" s="26">
        <f>IF(AL31&gt;0,AM31/AL31,"")</f>
        <v>0</v>
      </c>
      <c r="AO31" s="26">
        <v>27.637769784172662</v>
      </c>
      <c r="AP31" s="181" t="s">
        <v>52</v>
      </c>
      <c r="AQ31" s="159">
        <v>69980</v>
      </c>
      <c r="AR31" s="159">
        <v>59046</v>
      </c>
      <c r="AS31" s="151">
        <f t="shared" si="19"/>
        <v>84.375535867390681</v>
      </c>
      <c r="AU31" s="26">
        <f t="shared" si="0"/>
        <v>3891</v>
      </c>
      <c r="AV31" s="26">
        <f t="shared" si="1"/>
        <v>14825</v>
      </c>
      <c r="AW31" s="26">
        <f t="shared" si="2"/>
        <v>15.624464132609319</v>
      </c>
      <c r="AX31" s="1">
        <v>1</v>
      </c>
    </row>
    <row r="32" spans="1:50" s="1" customFormat="1" x14ac:dyDescent="0.25">
      <c r="A32" s="173" t="s">
        <v>272</v>
      </c>
      <c r="B32" s="8">
        <v>8267944</v>
      </c>
      <c r="C32" s="8">
        <v>0</v>
      </c>
      <c r="D32" s="10">
        <v>1</v>
      </c>
      <c r="E32" s="10">
        <v>1</v>
      </c>
      <c r="F32" s="10"/>
      <c r="G32" s="10">
        <f t="shared" si="3"/>
        <v>297761</v>
      </c>
      <c r="H32" s="19">
        <f t="shared" si="4"/>
        <v>297761</v>
      </c>
      <c r="I32" s="19">
        <v>0</v>
      </c>
      <c r="J32" s="19">
        <v>254954</v>
      </c>
      <c r="K32" s="29">
        <f t="shared" si="5"/>
        <v>14.376295082297547</v>
      </c>
      <c r="L32" s="19" t="s">
        <v>58</v>
      </c>
      <c r="M32" s="23">
        <v>42725.078981481478</v>
      </c>
      <c r="N32" s="23">
        <v>42774</v>
      </c>
      <c r="O32" s="179">
        <f t="shared" si="6"/>
        <v>100</v>
      </c>
      <c r="P32" s="19">
        <v>100</v>
      </c>
      <c r="Q32" s="19">
        <f>ROUND(O32-P32,0)</f>
        <v>0</v>
      </c>
      <c r="R32" s="19"/>
      <c r="S32" s="19">
        <f t="shared" si="8"/>
        <v>118853</v>
      </c>
      <c r="T32" s="19">
        <f t="shared" si="9"/>
        <v>118853</v>
      </c>
      <c r="U32" s="20">
        <f t="shared" si="10"/>
        <v>100</v>
      </c>
      <c r="V32" s="19">
        <v>178908</v>
      </c>
      <c r="W32" s="19">
        <v>178908</v>
      </c>
      <c r="X32" s="187">
        <f t="shared" si="11"/>
        <v>100</v>
      </c>
      <c r="Y32" s="19">
        <v>16850</v>
      </c>
      <c r="Z32" s="20">
        <v>16850</v>
      </c>
      <c r="AA32" s="20">
        <f t="shared" si="12"/>
        <v>100</v>
      </c>
      <c r="AB32" s="20">
        <v>102003</v>
      </c>
      <c r="AC32" s="20">
        <v>102003</v>
      </c>
      <c r="AD32" s="20">
        <f t="shared" si="13"/>
        <v>100</v>
      </c>
      <c r="AE32" s="20">
        <f t="shared" si="14"/>
        <v>280911</v>
      </c>
      <c r="AF32" s="20">
        <f t="shared" si="15"/>
        <v>280911</v>
      </c>
      <c r="AG32" s="187">
        <f t="shared" si="16"/>
        <v>100</v>
      </c>
      <c r="AH32" s="59" t="s">
        <v>541</v>
      </c>
      <c r="AI32" s="19" t="s">
        <v>52</v>
      </c>
      <c r="AL32" s="1" t="str">
        <f t="shared" si="20"/>
        <v/>
      </c>
      <c r="AM32" s="26">
        <f t="shared" si="18"/>
        <v>0</v>
      </c>
      <c r="AN32" s="26"/>
      <c r="AO32" s="26"/>
      <c r="AP32" s="181" t="s">
        <v>487</v>
      </c>
      <c r="AQ32" s="159">
        <v>76104</v>
      </c>
      <c r="AR32" s="159">
        <v>76104</v>
      </c>
      <c r="AS32" s="151">
        <f t="shared" si="19"/>
        <v>100</v>
      </c>
      <c r="AU32" s="26">
        <f t="shared" si="0"/>
        <v>42749</v>
      </c>
      <c r="AV32" s="26">
        <f t="shared" si="1"/>
        <v>42749</v>
      </c>
      <c r="AW32" s="26">
        <f t="shared" si="2"/>
        <v>0</v>
      </c>
      <c r="AX32" s="1">
        <v>4</v>
      </c>
    </row>
    <row r="33" spans="1:50" s="1" customFormat="1" x14ac:dyDescent="0.25">
      <c r="A33" s="173" t="s">
        <v>270</v>
      </c>
      <c r="B33" s="8">
        <v>8176396</v>
      </c>
      <c r="C33" s="8">
        <v>0</v>
      </c>
      <c r="D33" s="10">
        <v>1</v>
      </c>
      <c r="E33" s="10">
        <v>1</v>
      </c>
      <c r="F33" s="10"/>
      <c r="G33" s="10">
        <f t="shared" si="3"/>
        <v>298682</v>
      </c>
      <c r="H33" s="19">
        <f t="shared" si="4"/>
        <v>298682</v>
      </c>
      <c r="I33" s="19">
        <v>0</v>
      </c>
      <c r="J33" s="19">
        <v>299083</v>
      </c>
      <c r="K33" s="29">
        <f t="shared" si="5"/>
        <v>-0.13425650022431884</v>
      </c>
      <c r="L33" s="19" t="s">
        <v>58</v>
      </c>
      <c r="M33" s="23">
        <v>42776.318333333336</v>
      </c>
      <c r="N33" s="23"/>
      <c r="O33" s="179">
        <f t="shared" si="6"/>
        <v>100</v>
      </c>
      <c r="P33" s="19">
        <v>100</v>
      </c>
      <c r="Q33" s="19">
        <f>ROUND(O33-P33,0)</f>
        <v>0</v>
      </c>
      <c r="R33" s="19"/>
      <c r="S33" s="19">
        <f t="shared" si="8"/>
        <v>119827</v>
      </c>
      <c r="T33" s="19">
        <f t="shared" si="9"/>
        <v>119827</v>
      </c>
      <c r="U33" s="20">
        <f t="shared" si="10"/>
        <v>100</v>
      </c>
      <c r="V33" s="19">
        <v>178855</v>
      </c>
      <c r="W33" s="19">
        <v>178855</v>
      </c>
      <c r="X33" s="187">
        <f t="shared" si="11"/>
        <v>100</v>
      </c>
      <c r="Y33" s="19">
        <v>16749</v>
      </c>
      <c r="Z33" s="20">
        <v>16749</v>
      </c>
      <c r="AA33" s="20">
        <f t="shared" si="12"/>
        <v>100</v>
      </c>
      <c r="AB33" s="20">
        <v>103078</v>
      </c>
      <c r="AC33" s="20">
        <v>103078</v>
      </c>
      <c r="AD33" s="20">
        <f t="shared" si="13"/>
        <v>100</v>
      </c>
      <c r="AE33" s="20">
        <f t="shared" si="14"/>
        <v>281933</v>
      </c>
      <c r="AF33" s="20">
        <f t="shared" si="15"/>
        <v>281933</v>
      </c>
      <c r="AG33" s="187">
        <f t="shared" si="16"/>
        <v>100</v>
      </c>
      <c r="AH33" s="59" t="s">
        <v>351</v>
      </c>
      <c r="AI33" s="19" t="s">
        <v>540</v>
      </c>
      <c r="AL33" s="1" t="str">
        <f t="shared" si="20"/>
        <v/>
      </c>
      <c r="AM33" s="26">
        <f t="shared" si="18"/>
        <v>0</v>
      </c>
      <c r="AN33" s="26"/>
      <c r="AO33" s="26"/>
      <c r="AP33" s="181" t="s">
        <v>52</v>
      </c>
      <c r="AQ33" s="159">
        <v>120052</v>
      </c>
      <c r="AR33" s="159">
        <v>120052</v>
      </c>
      <c r="AS33" s="151">
        <f t="shared" si="19"/>
        <v>100</v>
      </c>
      <c r="AU33" s="26">
        <f t="shared" si="0"/>
        <v>-225</v>
      </c>
      <c r="AV33" s="26">
        <f t="shared" si="1"/>
        <v>-225</v>
      </c>
      <c r="AW33" s="26">
        <f t="shared" si="2"/>
        <v>0</v>
      </c>
      <c r="AX33" s="1">
        <v>4</v>
      </c>
    </row>
    <row r="34" spans="1:50" s="1" customFormat="1" x14ac:dyDescent="0.25">
      <c r="A34" s="142" t="s">
        <v>94</v>
      </c>
      <c r="B34" s="8">
        <v>7115008</v>
      </c>
      <c r="C34" s="8">
        <v>1</v>
      </c>
      <c r="D34" s="10">
        <v>1</v>
      </c>
      <c r="E34" s="10">
        <v>1</v>
      </c>
      <c r="F34" s="10"/>
      <c r="G34" s="10">
        <f t="shared" si="3"/>
        <v>180236</v>
      </c>
      <c r="H34" s="19">
        <f t="shared" si="4"/>
        <v>180236</v>
      </c>
      <c r="I34" s="19">
        <v>0</v>
      </c>
      <c r="J34" s="19">
        <v>17094</v>
      </c>
      <c r="K34" s="29">
        <f t="shared" si="5"/>
        <v>90.515768215006986</v>
      </c>
      <c r="L34" s="19" t="s">
        <v>58</v>
      </c>
      <c r="M34" s="23"/>
      <c r="N34" s="23"/>
      <c r="O34" s="179">
        <f t="shared" si="6"/>
        <v>100</v>
      </c>
      <c r="P34" s="19">
        <v>99.9</v>
      </c>
      <c r="Q34" s="19">
        <f>ROUND(O34-P34,0)</f>
        <v>0</v>
      </c>
      <c r="R34" s="19"/>
      <c r="S34" s="19">
        <f t="shared" si="8"/>
        <v>2880</v>
      </c>
      <c r="T34" s="19">
        <f t="shared" si="9"/>
        <v>2880</v>
      </c>
      <c r="U34" s="20">
        <f t="shared" si="10"/>
        <v>100</v>
      </c>
      <c r="V34" s="19">
        <v>177356</v>
      </c>
      <c r="W34" s="19">
        <v>177356</v>
      </c>
      <c r="X34" s="20">
        <f t="shared" si="11"/>
        <v>100</v>
      </c>
      <c r="Y34" s="20">
        <v>1154</v>
      </c>
      <c r="Z34" s="20">
        <v>1154</v>
      </c>
      <c r="AA34" s="20">
        <f t="shared" si="12"/>
        <v>100</v>
      </c>
      <c r="AB34" s="20">
        <v>1726</v>
      </c>
      <c r="AC34" s="20">
        <v>1726</v>
      </c>
      <c r="AD34" s="20">
        <f t="shared" si="13"/>
        <v>100</v>
      </c>
      <c r="AE34" s="20">
        <f t="shared" si="14"/>
        <v>179082</v>
      </c>
      <c r="AF34" s="20">
        <f t="shared" si="15"/>
        <v>179082</v>
      </c>
      <c r="AG34" s="20">
        <f t="shared" si="16"/>
        <v>100</v>
      </c>
      <c r="AH34" s="59" t="s">
        <v>514</v>
      </c>
      <c r="AI34" s="19" t="s">
        <v>430</v>
      </c>
      <c r="AJ34" s="1">
        <v>3</v>
      </c>
      <c r="AK34" s="1">
        <v>25</v>
      </c>
      <c r="AL34" s="1">
        <f t="shared" si="20"/>
        <v>75</v>
      </c>
      <c r="AM34" s="26">
        <f t="shared" si="18"/>
        <v>0</v>
      </c>
      <c r="AN34" s="26">
        <f>IF(AL34&gt;0,AM34/AL34,"")</f>
        <v>0</v>
      </c>
      <c r="AO34" s="26"/>
      <c r="AP34" s="181">
        <v>43465</v>
      </c>
      <c r="AQ34" s="159">
        <v>2878</v>
      </c>
      <c r="AR34" s="159">
        <v>0</v>
      </c>
      <c r="AS34" s="151">
        <f t="shared" si="19"/>
        <v>0</v>
      </c>
      <c r="AU34" s="26">
        <f t="shared" ref="AU34:AU65" si="21">S34-AQ34</f>
        <v>2</v>
      </c>
      <c r="AV34" s="26">
        <f t="shared" ref="AV34:AV65" si="22">T34-AR34</f>
        <v>2880</v>
      </c>
      <c r="AW34" s="26">
        <f t="shared" ref="AW34:AW65" si="23">U34-AS34</f>
        <v>100</v>
      </c>
      <c r="AX34" s="1">
        <v>1</v>
      </c>
    </row>
    <row r="35" spans="1:50" s="1" customFormat="1" x14ac:dyDescent="0.25">
      <c r="A35" s="141" t="s">
        <v>191</v>
      </c>
      <c r="B35" s="8">
        <v>7199007</v>
      </c>
      <c r="C35" s="8">
        <v>0</v>
      </c>
      <c r="D35" s="10">
        <v>1</v>
      </c>
      <c r="E35" s="10">
        <v>1</v>
      </c>
      <c r="F35" s="10"/>
      <c r="G35" s="10">
        <f t="shared" si="3"/>
        <v>241399</v>
      </c>
      <c r="H35" s="19">
        <f t="shared" si="4"/>
        <v>241399</v>
      </c>
      <c r="I35" s="19">
        <v>808</v>
      </c>
      <c r="J35" s="19">
        <v>149602</v>
      </c>
      <c r="K35" s="29">
        <f t="shared" si="5"/>
        <v>38.027083790736498</v>
      </c>
      <c r="L35" s="19" t="s">
        <v>58</v>
      </c>
      <c r="M35" s="23"/>
      <c r="N35" s="23">
        <v>42720</v>
      </c>
      <c r="O35" s="179">
        <f t="shared" si="6"/>
        <v>100</v>
      </c>
      <c r="P35" s="19">
        <v>72.569999999999993</v>
      </c>
      <c r="Q35" s="19">
        <f>ROUND(O35-P35,0)</f>
        <v>27</v>
      </c>
      <c r="R35" s="19"/>
      <c r="S35" s="19">
        <f t="shared" si="8"/>
        <v>65547</v>
      </c>
      <c r="T35" s="19">
        <f t="shared" si="9"/>
        <v>65547</v>
      </c>
      <c r="U35" s="20">
        <f t="shared" si="10"/>
        <v>100</v>
      </c>
      <c r="V35" s="19">
        <v>175852</v>
      </c>
      <c r="W35" s="19">
        <v>175852</v>
      </c>
      <c r="X35" s="187">
        <f t="shared" si="11"/>
        <v>100</v>
      </c>
      <c r="Y35" s="20">
        <v>3007</v>
      </c>
      <c r="Z35" s="20">
        <v>3007</v>
      </c>
      <c r="AA35" s="20">
        <f t="shared" si="12"/>
        <v>100</v>
      </c>
      <c r="AB35" s="20">
        <v>62540</v>
      </c>
      <c r="AC35" s="20">
        <v>62540</v>
      </c>
      <c r="AD35" s="20">
        <f t="shared" si="13"/>
        <v>100</v>
      </c>
      <c r="AE35" s="20">
        <f t="shared" si="14"/>
        <v>238392</v>
      </c>
      <c r="AF35" s="20">
        <f t="shared" si="15"/>
        <v>238392</v>
      </c>
      <c r="AG35" s="187">
        <f t="shared" si="16"/>
        <v>100</v>
      </c>
      <c r="AH35" s="59" t="s">
        <v>501</v>
      </c>
      <c r="AI35" s="19" t="s">
        <v>515</v>
      </c>
      <c r="AJ35" s="1">
        <v>10</v>
      </c>
      <c r="AK35" s="1">
        <v>10</v>
      </c>
      <c r="AL35" s="1">
        <f t="shared" si="20"/>
        <v>100</v>
      </c>
      <c r="AM35" s="26">
        <f t="shared" si="18"/>
        <v>0</v>
      </c>
      <c r="AN35" s="26"/>
      <c r="AO35" s="26"/>
      <c r="AP35" s="181">
        <v>43343</v>
      </c>
      <c r="AQ35" s="159">
        <v>57542</v>
      </c>
      <c r="AR35" s="159">
        <v>14203</v>
      </c>
      <c r="AS35" s="151">
        <f t="shared" si="19"/>
        <v>24.682840360084807</v>
      </c>
      <c r="AU35" s="26">
        <f t="shared" si="21"/>
        <v>8005</v>
      </c>
      <c r="AV35" s="26">
        <f t="shared" si="22"/>
        <v>51344</v>
      </c>
      <c r="AW35" s="26">
        <f t="shared" si="23"/>
        <v>75.317159639915189</v>
      </c>
      <c r="AX35" s="1">
        <v>2</v>
      </c>
    </row>
    <row r="36" spans="1:50" s="1" customFormat="1" x14ac:dyDescent="0.25">
      <c r="A36" s="141" t="s">
        <v>175</v>
      </c>
      <c r="B36" s="8">
        <v>7131674</v>
      </c>
      <c r="C36" s="8">
        <v>0</v>
      </c>
      <c r="D36" s="10">
        <v>1</v>
      </c>
      <c r="E36" s="10">
        <v>1</v>
      </c>
      <c r="F36" s="10"/>
      <c r="G36" s="10">
        <f t="shared" ref="G36:G67" si="24">SUM(S36,V36)</f>
        <v>464935</v>
      </c>
      <c r="H36" s="19">
        <f t="shared" ref="H36:H67" si="25">SUM(T36,W36)</f>
        <v>464935</v>
      </c>
      <c r="I36" s="19">
        <v>2726</v>
      </c>
      <c r="J36" s="19">
        <v>282196</v>
      </c>
      <c r="K36" s="29">
        <f t="shared" ref="K36:K67" si="26">(H36-J36)/H36*100</f>
        <v>39.304203813436288</v>
      </c>
      <c r="L36" s="19" t="s">
        <v>58</v>
      </c>
      <c r="M36" s="23"/>
      <c r="N36" s="23">
        <v>42662</v>
      </c>
      <c r="O36" s="179">
        <f t="shared" ref="O36:O67" si="27">IFERROR(100*H36/G36,"")</f>
        <v>100</v>
      </c>
      <c r="P36" s="19">
        <v>83.11</v>
      </c>
      <c r="Q36" s="19"/>
      <c r="R36" s="19"/>
      <c r="S36" s="19">
        <f t="shared" si="8"/>
        <v>294179</v>
      </c>
      <c r="T36" s="19">
        <f t="shared" si="9"/>
        <v>294179</v>
      </c>
      <c r="U36" s="20">
        <f t="shared" ref="U36:U67" si="28">IFERROR(T36/S36*100,"")</f>
        <v>100</v>
      </c>
      <c r="V36" s="19">
        <v>170756</v>
      </c>
      <c r="W36" s="19">
        <v>170756</v>
      </c>
      <c r="X36" s="187">
        <f t="shared" ref="X36:X67" si="29">IFERROR(W36/V36*100,"")</f>
        <v>100</v>
      </c>
      <c r="Y36" s="19">
        <v>42205</v>
      </c>
      <c r="Z36" s="20">
        <v>42205</v>
      </c>
      <c r="AA36" s="20">
        <f t="shared" ref="AA36:AA67" si="30">IFERROR(Z36/Y36*100,"")</f>
        <v>100</v>
      </c>
      <c r="AB36" s="20">
        <v>251974</v>
      </c>
      <c r="AC36" s="20">
        <v>251974</v>
      </c>
      <c r="AD36" s="20">
        <f t="shared" ref="AD36:AD67" si="31">IFERROR(AC36/AB36*100,"")</f>
        <v>100</v>
      </c>
      <c r="AE36" s="20">
        <f t="shared" ref="AE36:AE67" si="32">AB36+V36</f>
        <v>422730</v>
      </c>
      <c r="AF36" s="20">
        <f t="shared" ref="AF36:AF67" si="33">AC36+W36</f>
        <v>422730</v>
      </c>
      <c r="AG36" s="187">
        <f t="shared" ref="AG36:AG67" si="34">IFERROR(AF36/AE36*100,"")</f>
        <v>100</v>
      </c>
      <c r="AH36" s="59" t="s">
        <v>346</v>
      </c>
      <c r="AI36" s="19" t="s">
        <v>517</v>
      </c>
      <c r="AL36" s="1" t="str">
        <f t="shared" si="20"/>
        <v/>
      </c>
      <c r="AM36" s="26">
        <f t="shared" ref="AM36:AM67" si="35">G36-H36</f>
        <v>0</v>
      </c>
      <c r="AN36" s="26" t="e">
        <f>IF(AL36&gt;0,AM36/AL36,"")</f>
        <v>#VALUE!</v>
      </c>
      <c r="AO36" s="26">
        <v>6.6178494333513225</v>
      </c>
      <c r="AP36" s="181" t="s">
        <v>52</v>
      </c>
      <c r="AQ36" s="159">
        <v>294179</v>
      </c>
      <c r="AR36" s="159">
        <v>294179</v>
      </c>
      <c r="AS36" s="151">
        <f t="shared" ref="AS36:AS67" si="36">IFERROR(AR36/AQ36*100,"")</f>
        <v>100</v>
      </c>
      <c r="AU36" s="26">
        <f t="shared" si="21"/>
        <v>0</v>
      </c>
      <c r="AV36" s="26">
        <f t="shared" si="22"/>
        <v>0</v>
      </c>
      <c r="AW36" s="26">
        <f t="shared" si="23"/>
        <v>0</v>
      </c>
      <c r="AX36" s="1">
        <v>2</v>
      </c>
    </row>
    <row r="37" spans="1:50" s="1" customFormat="1" x14ac:dyDescent="0.25">
      <c r="A37" s="141" t="s">
        <v>178</v>
      </c>
      <c r="B37" s="8">
        <v>7178387</v>
      </c>
      <c r="C37" s="8">
        <v>0</v>
      </c>
      <c r="D37" s="10">
        <v>1</v>
      </c>
      <c r="E37" s="10">
        <v>1</v>
      </c>
      <c r="F37" s="10"/>
      <c r="G37" s="10">
        <f t="shared" si="24"/>
        <v>190822</v>
      </c>
      <c r="H37" s="19">
        <f t="shared" si="25"/>
        <v>190822</v>
      </c>
      <c r="I37" s="19">
        <v>133</v>
      </c>
      <c r="J37" s="19">
        <v>116271</v>
      </c>
      <c r="K37" s="29">
        <f t="shared" si="26"/>
        <v>39.068346417079795</v>
      </c>
      <c r="L37" s="19" t="s">
        <v>58</v>
      </c>
      <c r="M37" s="23"/>
      <c r="N37" s="23">
        <v>42564</v>
      </c>
      <c r="O37" s="179">
        <f t="shared" si="27"/>
        <v>100</v>
      </c>
      <c r="P37" s="19">
        <v>94.3</v>
      </c>
      <c r="Q37" s="19">
        <f t="shared" ref="Q37:Q68" si="37">ROUND(O37-P37,0)</f>
        <v>6</v>
      </c>
      <c r="R37" s="19"/>
      <c r="S37" s="19">
        <f t="shared" si="8"/>
        <v>20868</v>
      </c>
      <c r="T37" s="19">
        <f t="shared" si="9"/>
        <v>20868</v>
      </c>
      <c r="U37" s="20">
        <f t="shared" si="28"/>
        <v>100</v>
      </c>
      <c r="V37" s="19">
        <v>169954</v>
      </c>
      <c r="W37" s="19">
        <v>169954</v>
      </c>
      <c r="X37" s="187">
        <f t="shared" si="29"/>
        <v>100</v>
      </c>
      <c r="Y37" s="20">
        <v>2147</v>
      </c>
      <c r="Z37" s="20">
        <v>2147</v>
      </c>
      <c r="AA37" s="20">
        <f t="shared" si="30"/>
        <v>100</v>
      </c>
      <c r="AB37" s="20">
        <v>18721</v>
      </c>
      <c r="AC37" s="20">
        <v>18721</v>
      </c>
      <c r="AD37" s="20">
        <f t="shared" si="31"/>
        <v>100</v>
      </c>
      <c r="AE37" s="20">
        <f t="shared" si="32"/>
        <v>188675</v>
      </c>
      <c r="AF37" s="20">
        <f t="shared" si="33"/>
        <v>188675</v>
      </c>
      <c r="AG37" s="187">
        <f t="shared" si="34"/>
        <v>100</v>
      </c>
      <c r="AH37" s="59">
        <v>166916</v>
      </c>
      <c r="AI37" s="19" t="s">
        <v>52</v>
      </c>
      <c r="AJ37" s="1">
        <v>7</v>
      </c>
      <c r="AK37" s="1">
        <v>100</v>
      </c>
      <c r="AL37" s="1">
        <f t="shared" si="20"/>
        <v>700</v>
      </c>
      <c r="AM37" s="26">
        <f t="shared" si="35"/>
        <v>0</v>
      </c>
      <c r="AN37" s="26"/>
      <c r="AO37" s="26"/>
      <c r="AP37" s="181" t="s">
        <v>52</v>
      </c>
      <c r="AQ37" s="159">
        <v>20868</v>
      </c>
      <c r="AR37" s="159">
        <v>17645</v>
      </c>
      <c r="AS37" s="151">
        <f t="shared" si="36"/>
        <v>84.555299980831904</v>
      </c>
      <c r="AU37" s="26">
        <f t="shared" si="21"/>
        <v>0</v>
      </c>
      <c r="AV37" s="26">
        <f t="shared" si="22"/>
        <v>3223</v>
      </c>
      <c r="AW37" s="26">
        <f t="shared" si="23"/>
        <v>15.444700019168096</v>
      </c>
      <c r="AX37" s="1">
        <v>2</v>
      </c>
    </row>
    <row r="38" spans="1:50" s="1" customFormat="1" x14ac:dyDescent="0.25">
      <c r="A38" s="141" t="s">
        <v>180</v>
      </c>
      <c r="B38" s="8">
        <v>6789919</v>
      </c>
      <c r="C38" s="8">
        <v>0</v>
      </c>
      <c r="D38" s="10">
        <v>1</v>
      </c>
      <c r="E38" s="10">
        <v>1</v>
      </c>
      <c r="F38" s="10"/>
      <c r="G38" s="10">
        <f t="shared" si="24"/>
        <v>179810</v>
      </c>
      <c r="H38" s="19">
        <f t="shared" si="25"/>
        <v>179810</v>
      </c>
      <c r="I38" s="19">
        <v>1372</v>
      </c>
      <c r="J38" s="19">
        <v>150893</v>
      </c>
      <c r="K38" s="29">
        <f t="shared" si="26"/>
        <v>16.081975418497301</v>
      </c>
      <c r="L38" s="19" t="s">
        <v>58</v>
      </c>
      <c r="M38" s="23">
        <v>42541.436932870369</v>
      </c>
      <c r="N38" s="23"/>
      <c r="O38" s="179">
        <f t="shared" si="27"/>
        <v>100</v>
      </c>
      <c r="P38" s="19">
        <v>66.64</v>
      </c>
      <c r="Q38" s="19">
        <f t="shared" si="37"/>
        <v>33</v>
      </c>
      <c r="R38" s="19"/>
      <c r="S38" s="19">
        <f t="shared" si="8"/>
        <v>14374</v>
      </c>
      <c r="T38" s="19">
        <f t="shared" si="9"/>
        <v>14374</v>
      </c>
      <c r="U38" s="20">
        <f t="shared" si="28"/>
        <v>100</v>
      </c>
      <c r="V38" s="19">
        <v>165436</v>
      </c>
      <c r="W38" s="19">
        <v>165436</v>
      </c>
      <c r="X38" s="187">
        <f t="shared" si="29"/>
        <v>100</v>
      </c>
      <c r="Y38" s="20">
        <v>1874</v>
      </c>
      <c r="Z38" s="20">
        <v>1874</v>
      </c>
      <c r="AA38" s="20">
        <f t="shared" si="30"/>
        <v>100</v>
      </c>
      <c r="AB38" s="20">
        <v>12500</v>
      </c>
      <c r="AC38" s="20">
        <v>12500</v>
      </c>
      <c r="AD38" s="20">
        <f t="shared" si="31"/>
        <v>100</v>
      </c>
      <c r="AE38" s="20">
        <f t="shared" si="32"/>
        <v>177936</v>
      </c>
      <c r="AF38" s="20">
        <f t="shared" si="33"/>
        <v>177936</v>
      </c>
      <c r="AG38" s="187">
        <f t="shared" si="34"/>
        <v>100</v>
      </c>
      <c r="AH38" s="59">
        <v>0</v>
      </c>
      <c r="AI38" s="19" t="s">
        <v>52</v>
      </c>
      <c r="AJ38" s="1">
        <v>7</v>
      </c>
      <c r="AK38" s="1">
        <v>4</v>
      </c>
      <c r="AL38" s="1">
        <f t="shared" si="20"/>
        <v>28</v>
      </c>
      <c r="AM38" s="26">
        <f t="shared" si="35"/>
        <v>0</v>
      </c>
      <c r="AN38" s="26">
        <f>IF(AL38&gt;0,AM38/AL38,"")</f>
        <v>0</v>
      </c>
      <c r="AO38" s="26">
        <v>14.72704877648218</v>
      </c>
      <c r="AP38" s="181" t="s">
        <v>52</v>
      </c>
      <c r="AQ38" s="159">
        <v>12500</v>
      </c>
      <c r="AR38" s="159">
        <v>11000</v>
      </c>
      <c r="AS38" s="151">
        <f t="shared" si="36"/>
        <v>88</v>
      </c>
      <c r="AU38" s="26">
        <f t="shared" si="21"/>
        <v>1874</v>
      </c>
      <c r="AV38" s="26">
        <f t="shared" si="22"/>
        <v>3374</v>
      </c>
      <c r="AW38" s="26">
        <f t="shared" si="23"/>
        <v>12</v>
      </c>
      <c r="AX38" s="1">
        <v>1</v>
      </c>
    </row>
    <row r="39" spans="1:50" s="1" customFormat="1" x14ac:dyDescent="0.25">
      <c r="A39" s="141" t="s">
        <v>135</v>
      </c>
      <c r="B39" s="8">
        <v>8285071</v>
      </c>
      <c r="C39" s="8">
        <v>0</v>
      </c>
      <c r="D39" s="10">
        <v>1</v>
      </c>
      <c r="E39" s="10">
        <v>1</v>
      </c>
      <c r="F39" s="10"/>
      <c r="G39" s="10">
        <f t="shared" si="24"/>
        <v>296629</v>
      </c>
      <c r="H39" s="19">
        <f t="shared" si="25"/>
        <v>296629</v>
      </c>
      <c r="I39" s="19">
        <v>1537</v>
      </c>
      <c r="J39" s="19">
        <v>194030</v>
      </c>
      <c r="K39" s="29">
        <f t="shared" si="26"/>
        <v>34.588324135536311</v>
      </c>
      <c r="L39" s="19" t="s">
        <v>58</v>
      </c>
      <c r="M39" s="23">
        <v>42776.291180555556</v>
      </c>
      <c r="N39" s="23"/>
      <c r="O39" s="179">
        <f t="shared" si="27"/>
        <v>100</v>
      </c>
      <c r="P39" s="19">
        <v>98.37</v>
      </c>
      <c r="Q39" s="19">
        <f t="shared" si="37"/>
        <v>2</v>
      </c>
      <c r="R39" s="19"/>
      <c r="S39" s="19">
        <f t="shared" si="8"/>
        <v>140089</v>
      </c>
      <c r="T39" s="19">
        <f t="shared" si="9"/>
        <v>140089</v>
      </c>
      <c r="U39" s="20">
        <f t="shared" si="28"/>
        <v>100</v>
      </c>
      <c r="V39" s="19">
        <v>156540</v>
      </c>
      <c r="W39" s="19">
        <v>156540</v>
      </c>
      <c r="X39" s="187">
        <f t="shared" si="29"/>
        <v>100</v>
      </c>
      <c r="Y39" s="20">
        <v>16746</v>
      </c>
      <c r="Z39" s="20">
        <v>16746</v>
      </c>
      <c r="AA39" s="20">
        <f t="shared" si="30"/>
        <v>100</v>
      </c>
      <c r="AB39" s="20">
        <v>123343</v>
      </c>
      <c r="AC39" s="20">
        <v>123343</v>
      </c>
      <c r="AD39" s="20">
        <f t="shared" si="31"/>
        <v>100</v>
      </c>
      <c r="AE39" s="20">
        <f t="shared" si="32"/>
        <v>279883</v>
      </c>
      <c r="AF39" s="20">
        <f t="shared" si="33"/>
        <v>279883</v>
      </c>
      <c r="AG39" s="187">
        <f t="shared" si="34"/>
        <v>100</v>
      </c>
      <c r="AH39" s="59">
        <v>0</v>
      </c>
      <c r="AI39" s="19" t="s">
        <v>52</v>
      </c>
      <c r="AJ39" s="1">
        <v>8</v>
      </c>
      <c r="AK39" s="1">
        <v>69</v>
      </c>
      <c r="AL39" s="1">
        <f t="shared" si="20"/>
        <v>552</v>
      </c>
      <c r="AM39" s="26">
        <f t="shared" si="35"/>
        <v>0</v>
      </c>
      <c r="AN39" s="26">
        <f>IF(AL39&gt;0,AM39/AL39,"")</f>
        <v>0</v>
      </c>
      <c r="AO39" s="26">
        <v>32.140841173215271</v>
      </c>
      <c r="AP39" s="181" t="s">
        <v>52</v>
      </c>
      <c r="AQ39" s="159">
        <v>123343</v>
      </c>
      <c r="AR39" s="159">
        <v>43798</v>
      </c>
      <c r="AS39" s="151">
        <f t="shared" si="36"/>
        <v>35.509108745530753</v>
      </c>
      <c r="AU39" s="26">
        <f t="shared" si="21"/>
        <v>16746</v>
      </c>
      <c r="AV39" s="26">
        <f t="shared" si="22"/>
        <v>96291</v>
      </c>
      <c r="AW39" s="26">
        <f t="shared" si="23"/>
        <v>64.490891254469247</v>
      </c>
      <c r="AX39" s="1">
        <v>2</v>
      </c>
    </row>
    <row r="40" spans="1:50" s="1" customFormat="1" x14ac:dyDescent="0.25">
      <c r="A40" s="176" t="s">
        <v>166</v>
      </c>
      <c r="B40" s="8">
        <v>7233345</v>
      </c>
      <c r="C40" s="8">
        <v>0</v>
      </c>
      <c r="D40" s="10">
        <v>1</v>
      </c>
      <c r="E40" s="10">
        <v>1</v>
      </c>
      <c r="F40" s="10"/>
      <c r="G40" s="10">
        <f t="shared" si="24"/>
        <v>292455</v>
      </c>
      <c r="H40" s="19">
        <f t="shared" si="25"/>
        <v>292455</v>
      </c>
      <c r="I40" s="19">
        <v>1506</v>
      </c>
      <c r="J40" s="19">
        <v>280065</v>
      </c>
      <c r="K40" s="29">
        <f t="shared" si="26"/>
        <v>4.2365492126993898</v>
      </c>
      <c r="L40" s="19" t="s">
        <v>58</v>
      </c>
      <c r="M40" s="23">
        <v>42776.535127314812</v>
      </c>
      <c r="N40" s="23"/>
      <c r="O40" s="179">
        <f t="shared" si="27"/>
        <v>100</v>
      </c>
      <c r="P40" s="19">
        <v>91.88</v>
      </c>
      <c r="Q40" s="19">
        <f t="shared" si="37"/>
        <v>8</v>
      </c>
      <c r="R40" s="19"/>
      <c r="S40" s="19">
        <f t="shared" si="8"/>
        <v>141247</v>
      </c>
      <c r="T40" s="19">
        <f t="shared" si="9"/>
        <v>141247</v>
      </c>
      <c r="U40" s="20">
        <f t="shared" si="28"/>
        <v>100</v>
      </c>
      <c r="V40" s="19">
        <v>151208</v>
      </c>
      <c r="W40" s="19">
        <v>151208</v>
      </c>
      <c r="X40" s="187">
        <f t="shared" si="29"/>
        <v>100</v>
      </c>
      <c r="Y40" s="19">
        <v>46902</v>
      </c>
      <c r="Z40" s="20">
        <v>46902</v>
      </c>
      <c r="AA40" s="20">
        <f t="shared" si="30"/>
        <v>100</v>
      </c>
      <c r="AB40" s="20">
        <v>94345</v>
      </c>
      <c r="AC40" s="20">
        <v>94345</v>
      </c>
      <c r="AD40" s="20">
        <f t="shared" si="31"/>
        <v>100</v>
      </c>
      <c r="AE40" s="20">
        <f t="shared" si="32"/>
        <v>245553</v>
      </c>
      <c r="AF40" s="20">
        <f t="shared" si="33"/>
        <v>245553</v>
      </c>
      <c r="AG40" s="187">
        <f t="shared" si="34"/>
        <v>100</v>
      </c>
      <c r="AH40" s="59" t="s">
        <v>353</v>
      </c>
      <c r="AI40" s="19" t="s">
        <v>465</v>
      </c>
      <c r="AJ40" s="1">
        <v>32</v>
      </c>
      <c r="AK40" s="1">
        <v>25</v>
      </c>
      <c r="AL40" s="1">
        <f t="shared" si="20"/>
        <v>800</v>
      </c>
      <c r="AM40" s="26">
        <f t="shared" si="35"/>
        <v>0</v>
      </c>
      <c r="AN40" s="26"/>
      <c r="AO40" s="26"/>
      <c r="AP40" s="181" t="s">
        <v>52</v>
      </c>
      <c r="AQ40" s="159">
        <v>141247</v>
      </c>
      <c r="AR40" s="159">
        <v>141247</v>
      </c>
      <c r="AS40" s="151">
        <f t="shared" si="36"/>
        <v>100</v>
      </c>
      <c r="AU40" s="26">
        <f t="shared" si="21"/>
        <v>0</v>
      </c>
      <c r="AV40" s="26">
        <f t="shared" si="22"/>
        <v>0</v>
      </c>
      <c r="AW40" s="26">
        <f t="shared" si="23"/>
        <v>0</v>
      </c>
      <c r="AX40" s="1">
        <v>4</v>
      </c>
    </row>
    <row r="41" spans="1:50" s="1" customFormat="1" x14ac:dyDescent="0.25">
      <c r="A41" s="173" t="s">
        <v>111</v>
      </c>
      <c r="B41" s="8">
        <v>100313169</v>
      </c>
      <c r="C41" s="8">
        <v>0</v>
      </c>
      <c r="D41" s="10">
        <v>1</v>
      </c>
      <c r="E41" s="10">
        <v>1</v>
      </c>
      <c r="F41" s="10"/>
      <c r="G41" s="10">
        <f t="shared" si="24"/>
        <v>205160</v>
      </c>
      <c r="H41" s="19">
        <f t="shared" si="25"/>
        <v>205160</v>
      </c>
      <c r="I41" s="19">
        <v>248</v>
      </c>
      <c r="J41" s="19">
        <v>163858</v>
      </c>
      <c r="K41" s="29">
        <f t="shared" si="26"/>
        <v>20.131604601286803</v>
      </c>
      <c r="L41" s="19" t="s">
        <v>58</v>
      </c>
      <c r="M41" s="23">
        <v>42676.604490740741</v>
      </c>
      <c r="N41" s="23" t="s">
        <v>57</v>
      </c>
      <c r="O41" s="179">
        <f t="shared" si="27"/>
        <v>100</v>
      </c>
      <c r="P41" s="19">
        <v>100</v>
      </c>
      <c r="Q41" s="19">
        <f t="shared" si="37"/>
        <v>0</v>
      </c>
      <c r="R41" s="19"/>
      <c r="S41" s="19">
        <f t="shared" si="8"/>
        <v>58358</v>
      </c>
      <c r="T41" s="19">
        <f t="shared" si="9"/>
        <v>58358</v>
      </c>
      <c r="U41" s="20">
        <f t="shared" si="28"/>
        <v>100</v>
      </c>
      <c r="V41" s="19">
        <v>146802</v>
      </c>
      <c r="W41" s="19">
        <v>146802</v>
      </c>
      <c r="X41" s="187">
        <f t="shared" si="29"/>
        <v>100</v>
      </c>
      <c r="Y41" s="20">
        <v>0</v>
      </c>
      <c r="Z41" s="20">
        <v>0</v>
      </c>
      <c r="AA41" s="20" t="str">
        <f t="shared" si="30"/>
        <v/>
      </c>
      <c r="AB41" s="20">
        <v>58358</v>
      </c>
      <c r="AC41" s="20">
        <v>58358</v>
      </c>
      <c r="AD41" s="20">
        <f t="shared" si="31"/>
        <v>100</v>
      </c>
      <c r="AE41" s="20">
        <f t="shared" si="32"/>
        <v>205160</v>
      </c>
      <c r="AF41" s="20">
        <f t="shared" si="33"/>
        <v>205160</v>
      </c>
      <c r="AG41" s="187">
        <f t="shared" si="34"/>
        <v>100</v>
      </c>
      <c r="AH41" s="59" t="s">
        <v>443</v>
      </c>
      <c r="AI41" s="19">
        <v>0</v>
      </c>
      <c r="AJ41" s="1" t="s">
        <v>86</v>
      </c>
      <c r="AL41" s="1" t="str">
        <f t="shared" si="20"/>
        <v/>
      </c>
      <c r="AM41" s="26">
        <f t="shared" si="35"/>
        <v>0</v>
      </c>
      <c r="AN41" s="26" t="e">
        <f>IF(AL41&gt;0,AM41/AL41,"")</f>
        <v>#VALUE!</v>
      </c>
      <c r="AO41" s="26">
        <v>24.224678547259192</v>
      </c>
      <c r="AP41" s="181" t="s">
        <v>52</v>
      </c>
      <c r="AQ41" s="159">
        <v>58358</v>
      </c>
      <c r="AR41" s="159">
        <v>28913</v>
      </c>
      <c r="AS41" s="151">
        <f t="shared" si="36"/>
        <v>49.54419274135509</v>
      </c>
      <c r="AU41" s="26">
        <f t="shared" si="21"/>
        <v>0</v>
      </c>
      <c r="AV41" s="26">
        <f t="shared" si="22"/>
        <v>29445</v>
      </c>
      <c r="AW41" s="26">
        <f t="shared" si="23"/>
        <v>50.45580725864491</v>
      </c>
      <c r="AX41" s="1">
        <v>4</v>
      </c>
    </row>
    <row r="42" spans="1:50" s="1" customFormat="1" x14ac:dyDescent="0.25">
      <c r="A42" s="142" t="s">
        <v>147</v>
      </c>
      <c r="B42">
        <v>7193807</v>
      </c>
      <c r="C42" s="8">
        <v>1</v>
      </c>
      <c r="D42" s="10">
        <v>1</v>
      </c>
      <c r="E42" s="10">
        <v>1</v>
      </c>
      <c r="F42" s="13"/>
      <c r="G42" s="10">
        <f t="shared" si="24"/>
        <v>166862</v>
      </c>
      <c r="H42" s="19">
        <f t="shared" si="25"/>
        <v>166862</v>
      </c>
      <c r="I42" s="19">
        <v>1940</v>
      </c>
      <c r="J42" s="19">
        <v>160245</v>
      </c>
      <c r="K42" s="29">
        <f t="shared" si="26"/>
        <v>3.9655523726192903</v>
      </c>
      <c r="L42" s="19" t="s">
        <v>58</v>
      </c>
      <c r="M42" s="23">
        <v>42342.624050925922</v>
      </c>
      <c r="N42" s="23">
        <v>42697</v>
      </c>
      <c r="O42" s="179">
        <f t="shared" si="27"/>
        <v>100</v>
      </c>
      <c r="P42" s="21">
        <v>97.5</v>
      </c>
      <c r="Q42" s="19">
        <f t="shared" si="37"/>
        <v>3</v>
      </c>
      <c r="R42" s="19"/>
      <c r="S42" s="19">
        <f t="shared" si="8"/>
        <v>23050</v>
      </c>
      <c r="T42" s="19">
        <f t="shared" si="9"/>
        <v>23050</v>
      </c>
      <c r="U42" s="20">
        <f t="shared" si="28"/>
        <v>100</v>
      </c>
      <c r="V42" s="19">
        <v>143812</v>
      </c>
      <c r="W42" s="22">
        <v>143812</v>
      </c>
      <c r="X42" s="20">
        <f t="shared" si="29"/>
        <v>100</v>
      </c>
      <c r="Y42" s="20">
        <v>0</v>
      </c>
      <c r="Z42" s="20">
        <v>0</v>
      </c>
      <c r="AA42" s="20" t="str">
        <f t="shared" si="30"/>
        <v/>
      </c>
      <c r="AB42" s="20">
        <v>23050</v>
      </c>
      <c r="AC42" s="20">
        <v>23050</v>
      </c>
      <c r="AD42" s="20">
        <f t="shared" si="31"/>
        <v>100</v>
      </c>
      <c r="AE42" s="20">
        <f t="shared" si="32"/>
        <v>166862</v>
      </c>
      <c r="AF42" s="20">
        <f t="shared" si="33"/>
        <v>166862</v>
      </c>
      <c r="AG42" s="20">
        <f t="shared" si="34"/>
        <v>100</v>
      </c>
      <c r="AH42" s="59" t="s">
        <v>522</v>
      </c>
      <c r="AI42" s="19" t="s">
        <v>52</v>
      </c>
      <c r="AL42" s="1" t="str">
        <f t="shared" si="20"/>
        <v/>
      </c>
      <c r="AM42" s="26">
        <f t="shared" si="35"/>
        <v>0</v>
      </c>
      <c r="AN42" s="10"/>
      <c r="AO42" s="26"/>
      <c r="AP42" s="181">
        <v>43190</v>
      </c>
      <c r="AQ42" s="159">
        <v>23050</v>
      </c>
      <c r="AR42" s="22">
        <v>21610</v>
      </c>
      <c r="AS42" s="151">
        <f t="shared" si="36"/>
        <v>93.752711496746201</v>
      </c>
      <c r="AU42" s="26">
        <f t="shared" si="21"/>
        <v>0</v>
      </c>
      <c r="AV42" s="26">
        <f t="shared" si="22"/>
        <v>1440</v>
      </c>
      <c r="AW42" s="26">
        <f t="shared" si="23"/>
        <v>6.2472885032537988</v>
      </c>
      <c r="AX42" s="1">
        <v>2</v>
      </c>
    </row>
    <row r="43" spans="1:50" s="1" customFormat="1" ht="15.75" customHeight="1" x14ac:dyDescent="0.25">
      <c r="A43" s="174" t="s">
        <v>154</v>
      </c>
      <c r="B43" s="8" t="s">
        <v>240</v>
      </c>
      <c r="C43" s="8">
        <v>1</v>
      </c>
      <c r="D43" s="10">
        <v>1</v>
      </c>
      <c r="E43" s="10">
        <v>1</v>
      </c>
      <c r="F43" s="10"/>
      <c r="G43" s="10">
        <f t="shared" si="24"/>
        <v>148354</v>
      </c>
      <c r="H43" s="19">
        <f t="shared" si="25"/>
        <v>148354</v>
      </c>
      <c r="I43" s="19">
        <v>0</v>
      </c>
      <c r="J43" s="19">
        <v>90647</v>
      </c>
      <c r="K43" s="29">
        <f t="shared" si="26"/>
        <v>38.898175984469582</v>
      </c>
      <c r="L43" s="19" t="s">
        <v>58</v>
      </c>
      <c r="M43" s="23">
        <v>42776.322222222225</v>
      </c>
      <c r="N43" s="23"/>
      <c r="O43" s="179">
        <f t="shared" si="27"/>
        <v>100</v>
      </c>
      <c r="P43" s="19">
        <v>55.9</v>
      </c>
      <c r="Q43" s="19">
        <f t="shared" si="37"/>
        <v>44</v>
      </c>
      <c r="R43" s="19"/>
      <c r="S43" s="19">
        <f t="shared" si="8"/>
        <v>9800</v>
      </c>
      <c r="T43" s="19">
        <f t="shared" si="9"/>
        <v>9800</v>
      </c>
      <c r="U43" s="20">
        <f t="shared" si="28"/>
        <v>100</v>
      </c>
      <c r="V43" s="19">
        <v>138554</v>
      </c>
      <c r="W43" s="19">
        <v>138554</v>
      </c>
      <c r="X43" s="20">
        <f t="shared" si="29"/>
        <v>100</v>
      </c>
      <c r="Y43" s="20">
        <v>2496</v>
      </c>
      <c r="Z43" s="20">
        <v>2496</v>
      </c>
      <c r="AA43" s="20">
        <f t="shared" si="30"/>
        <v>100</v>
      </c>
      <c r="AB43" s="20">
        <v>7304</v>
      </c>
      <c r="AC43" s="20">
        <v>7304</v>
      </c>
      <c r="AD43" s="20">
        <f t="shared" si="31"/>
        <v>100</v>
      </c>
      <c r="AE43" s="20">
        <f t="shared" si="32"/>
        <v>145858</v>
      </c>
      <c r="AF43" s="20">
        <f t="shared" si="33"/>
        <v>145858</v>
      </c>
      <c r="AG43" s="20">
        <f t="shared" si="34"/>
        <v>100</v>
      </c>
      <c r="AH43" s="59" t="s">
        <v>509</v>
      </c>
      <c r="AI43" s="19" t="s">
        <v>521</v>
      </c>
      <c r="AL43" s="1" t="str">
        <f t="shared" si="20"/>
        <v/>
      </c>
      <c r="AM43" s="26">
        <f t="shared" si="35"/>
        <v>0</v>
      </c>
      <c r="AN43" s="26" t="e">
        <f>IF(AL43&gt;0,AM43/AL43,"")</f>
        <v>#VALUE!</v>
      </c>
      <c r="AO43" s="26">
        <v>73.738317757009341</v>
      </c>
      <c r="AP43" s="181">
        <v>43281</v>
      </c>
      <c r="AQ43" s="159">
        <v>9800</v>
      </c>
      <c r="AR43" s="159">
        <v>1480</v>
      </c>
      <c r="AS43" s="151">
        <f t="shared" si="36"/>
        <v>15.102040816326531</v>
      </c>
      <c r="AU43" s="26">
        <f t="shared" si="21"/>
        <v>0</v>
      </c>
      <c r="AV43" s="26">
        <f t="shared" si="22"/>
        <v>8320</v>
      </c>
      <c r="AW43" s="26">
        <f t="shared" si="23"/>
        <v>84.897959183673464</v>
      </c>
      <c r="AX43" s="1">
        <v>4</v>
      </c>
    </row>
    <row r="44" spans="1:50" s="1" customFormat="1" x14ac:dyDescent="0.25">
      <c r="A44" s="173" t="s">
        <v>174</v>
      </c>
      <c r="B44" s="8">
        <v>7184654</v>
      </c>
      <c r="C44" s="8">
        <v>0</v>
      </c>
      <c r="D44" s="10">
        <v>1</v>
      </c>
      <c r="E44" s="10">
        <v>1</v>
      </c>
      <c r="F44" s="10"/>
      <c r="G44" s="10">
        <f t="shared" si="24"/>
        <v>219558</v>
      </c>
      <c r="H44" s="19">
        <f t="shared" si="25"/>
        <v>219558</v>
      </c>
      <c r="I44" s="19">
        <v>-2145</v>
      </c>
      <c r="J44" s="19">
        <v>221219</v>
      </c>
      <c r="K44" s="29">
        <f t="shared" si="26"/>
        <v>-0.75651991728837031</v>
      </c>
      <c r="L44" s="19" t="s">
        <v>58</v>
      </c>
      <c r="M44" s="23">
        <v>42776.348587962966</v>
      </c>
      <c r="N44" s="23"/>
      <c r="O44" s="179">
        <f t="shared" si="27"/>
        <v>100</v>
      </c>
      <c r="P44" s="19">
        <v>62.64</v>
      </c>
      <c r="Q44" s="19">
        <f t="shared" si="37"/>
        <v>37</v>
      </c>
      <c r="R44" s="19"/>
      <c r="S44" s="19">
        <f t="shared" si="8"/>
        <v>81579</v>
      </c>
      <c r="T44" s="19">
        <f t="shared" si="9"/>
        <v>81579</v>
      </c>
      <c r="U44" s="20">
        <f t="shared" si="28"/>
        <v>100</v>
      </c>
      <c r="V44" s="19">
        <v>137979</v>
      </c>
      <c r="W44" s="19">
        <v>137979</v>
      </c>
      <c r="X44" s="187">
        <f t="shared" si="29"/>
        <v>100</v>
      </c>
      <c r="Y44" s="19">
        <v>21526</v>
      </c>
      <c r="Z44" s="20">
        <v>21526</v>
      </c>
      <c r="AA44" s="20">
        <f t="shared" si="30"/>
        <v>100</v>
      </c>
      <c r="AB44" s="20">
        <v>60053</v>
      </c>
      <c r="AC44" s="20">
        <v>60053</v>
      </c>
      <c r="AD44" s="20">
        <f t="shared" si="31"/>
        <v>100</v>
      </c>
      <c r="AE44" s="20">
        <f t="shared" si="32"/>
        <v>198032</v>
      </c>
      <c r="AF44" s="20">
        <f t="shared" si="33"/>
        <v>198032</v>
      </c>
      <c r="AG44" s="187">
        <f t="shared" si="34"/>
        <v>100</v>
      </c>
      <c r="AH44" s="59" t="s">
        <v>358</v>
      </c>
      <c r="AI44" s="19" t="s">
        <v>510</v>
      </c>
      <c r="AJ44" s="1">
        <v>6</v>
      </c>
      <c r="AK44" s="1">
        <v>700</v>
      </c>
      <c r="AL44" s="1">
        <f t="shared" si="20"/>
        <v>4200</v>
      </c>
      <c r="AM44" s="26">
        <f t="shared" si="35"/>
        <v>0</v>
      </c>
      <c r="AN44" s="26">
        <f>IF(AL44&gt;0,AM44/AL44,"")</f>
        <v>0</v>
      </c>
      <c r="AO44" s="26">
        <v>411.09022556390977</v>
      </c>
      <c r="AP44" s="181" t="s">
        <v>52</v>
      </c>
      <c r="AQ44" s="159">
        <v>81579</v>
      </c>
      <c r="AR44" s="159">
        <v>81579</v>
      </c>
      <c r="AS44" s="151">
        <f t="shared" si="36"/>
        <v>100</v>
      </c>
      <c r="AU44" s="26">
        <f t="shared" si="21"/>
        <v>0</v>
      </c>
      <c r="AV44" s="26">
        <f t="shared" si="22"/>
        <v>0</v>
      </c>
      <c r="AW44" s="26">
        <f t="shared" si="23"/>
        <v>0</v>
      </c>
      <c r="AX44" s="1">
        <v>4</v>
      </c>
    </row>
    <row r="45" spans="1:50" s="1" customFormat="1" x14ac:dyDescent="0.25">
      <c r="A45" s="173" t="s">
        <v>275</v>
      </c>
      <c r="B45" s="8">
        <v>8038490</v>
      </c>
      <c r="C45" s="8">
        <v>0</v>
      </c>
      <c r="D45" s="10">
        <v>1</v>
      </c>
      <c r="E45" s="10">
        <v>1</v>
      </c>
      <c r="F45" s="10"/>
      <c r="G45" s="10">
        <f t="shared" si="24"/>
        <v>220769</v>
      </c>
      <c r="H45" s="19">
        <f t="shared" si="25"/>
        <v>220769</v>
      </c>
      <c r="I45" s="19">
        <v>0</v>
      </c>
      <c r="J45" s="19">
        <v>221703</v>
      </c>
      <c r="K45" s="29">
        <f t="shared" si="26"/>
        <v>-0.42306664432053415</v>
      </c>
      <c r="L45" s="19" t="s">
        <v>58</v>
      </c>
      <c r="M45" s="23">
        <v>42772.452164351853</v>
      </c>
      <c r="N45" s="23"/>
      <c r="O45" s="179">
        <f t="shared" si="27"/>
        <v>100</v>
      </c>
      <c r="P45" s="19">
        <v>100</v>
      </c>
      <c r="Q45" s="19">
        <f t="shared" si="37"/>
        <v>0</v>
      </c>
      <c r="R45" s="19"/>
      <c r="S45" s="152">
        <v>93296</v>
      </c>
      <c r="T45" s="152">
        <v>93296</v>
      </c>
      <c r="U45" s="20">
        <f t="shared" si="28"/>
        <v>100</v>
      </c>
      <c r="V45" s="152">
        <v>127473</v>
      </c>
      <c r="W45" s="152">
        <v>127473</v>
      </c>
      <c r="X45" s="187">
        <f t="shared" si="29"/>
        <v>100</v>
      </c>
      <c r="Y45" s="19">
        <v>0</v>
      </c>
      <c r="Z45" s="20">
        <v>0</v>
      </c>
      <c r="AA45" s="20" t="str">
        <f t="shared" si="30"/>
        <v/>
      </c>
      <c r="AB45" s="152">
        <v>93296</v>
      </c>
      <c r="AC45" s="152">
        <v>93296</v>
      </c>
      <c r="AD45" s="20">
        <f t="shared" si="31"/>
        <v>100</v>
      </c>
      <c r="AE45" s="20">
        <f t="shared" si="32"/>
        <v>220769</v>
      </c>
      <c r="AF45" s="20">
        <f t="shared" si="33"/>
        <v>220769</v>
      </c>
      <c r="AG45" s="187">
        <f t="shared" si="34"/>
        <v>100</v>
      </c>
      <c r="AH45" s="59">
        <v>0</v>
      </c>
      <c r="AI45" s="19" t="s">
        <v>473</v>
      </c>
      <c r="AL45" s="1" t="str">
        <f t="shared" si="20"/>
        <v/>
      </c>
      <c r="AM45" s="26">
        <f t="shared" si="35"/>
        <v>0</v>
      </c>
      <c r="AN45" s="26"/>
      <c r="AO45" s="26"/>
      <c r="AP45" s="181" t="s">
        <v>52</v>
      </c>
      <c r="AQ45" s="159">
        <v>93296</v>
      </c>
      <c r="AR45" s="159">
        <v>93296</v>
      </c>
      <c r="AS45" s="151">
        <f t="shared" si="36"/>
        <v>100</v>
      </c>
      <c r="AU45" s="26">
        <f t="shared" si="21"/>
        <v>0</v>
      </c>
      <c r="AV45" s="26">
        <f t="shared" si="22"/>
        <v>0</v>
      </c>
      <c r="AW45" s="26">
        <f t="shared" si="23"/>
        <v>0</v>
      </c>
      <c r="AX45" s="1">
        <v>4</v>
      </c>
    </row>
    <row r="46" spans="1:50" s="1" customFormat="1" x14ac:dyDescent="0.25">
      <c r="A46" s="172" t="s">
        <v>186</v>
      </c>
      <c r="B46" s="8">
        <v>101913980</v>
      </c>
      <c r="C46" s="8">
        <v>0</v>
      </c>
      <c r="D46" s="10">
        <v>1</v>
      </c>
      <c r="E46" s="10">
        <v>1</v>
      </c>
      <c r="F46" s="10"/>
      <c r="G46" s="10">
        <f t="shared" si="24"/>
        <v>188518</v>
      </c>
      <c r="H46" s="19">
        <f t="shared" si="25"/>
        <v>188518</v>
      </c>
      <c r="I46" s="19">
        <v>1963</v>
      </c>
      <c r="J46" s="19">
        <v>187584</v>
      </c>
      <c r="K46" s="29">
        <f t="shared" si="26"/>
        <v>0.49544340593471181</v>
      </c>
      <c r="L46" s="19" t="s">
        <v>58</v>
      </c>
      <c r="M46" s="23">
        <v>42774.697291666664</v>
      </c>
      <c r="N46" s="23"/>
      <c r="O46" s="179">
        <f t="shared" si="27"/>
        <v>100</v>
      </c>
      <c r="P46" s="19">
        <v>96</v>
      </c>
      <c r="Q46" s="19">
        <f t="shared" si="37"/>
        <v>4</v>
      </c>
      <c r="R46" s="19"/>
      <c r="S46" s="19">
        <f t="shared" ref="S46:S77" si="38">Y46+AB46</f>
        <v>64689</v>
      </c>
      <c r="T46" s="19">
        <f t="shared" ref="T46:T77" si="39">Z46+AC46</f>
        <v>64689</v>
      </c>
      <c r="U46" s="20">
        <f t="shared" si="28"/>
        <v>100</v>
      </c>
      <c r="V46" s="19">
        <v>123829</v>
      </c>
      <c r="W46" s="19">
        <v>123829</v>
      </c>
      <c r="X46" s="187">
        <f t="shared" si="29"/>
        <v>100</v>
      </c>
      <c r="Y46" s="20">
        <v>8729</v>
      </c>
      <c r="Z46" s="20">
        <v>8729</v>
      </c>
      <c r="AA46" s="20">
        <f t="shared" si="30"/>
        <v>100</v>
      </c>
      <c r="AB46" s="20">
        <v>55960</v>
      </c>
      <c r="AC46" s="20">
        <v>55960</v>
      </c>
      <c r="AD46" s="20">
        <f t="shared" si="31"/>
        <v>100</v>
      </c>
      <c r="AE46" s="20">
        <f t="shared" si="32"/>
        <v>179789</v>
      </c>
      <c r="AF46" s="20">
        <f t="shared" si="33"/>
        <v>179789</v>
      </c>
      <c r="AG46" s="187">
        <f t="shared" si="34"/>
        <v>100</v>
      </c>
      <c r="AH46" s="59" t="s">
        <v>408</v>
      </c>
      <c r="AI46" s="19" t="s">
        <v>52</v>
      </c>
      <c r="AJ46" s="1">
        <v>10</v>
      </c>
      <c r="AK46" s="1">
        <v>50</v>
      </c>
      <c r="AL46" s="1">
        <f t="shared" si="20"/>
        <v>500</v>
      </c>
      <c r="AM46" s="26">
        <f t="shared" si="35"/>
        <v>0</v>
      </c>
      <c r="AN46" s="26">
        <f>IF(AL46&gt;0,AM46/AL46,"")</f>
        <v>0</v>
      </c>
      <c r="AO46" s="26">
        <v>26.192307692307693</v>
      </c>
      <c r="AP46" s="181" t="s">
        <v>52</v>
      </c>
      <c r="AQ46" s="159">
        <v>55960</v>
      </c>
      <c r="AR46" s="159">
        <v>55371</v>
      </c>
      <c r="AS46" s="151">
        <f t="shared" si="36"/>
        <v>98.947462473195131</v>
      </c>
      <c r="AU46" s="26">
        <f t="shared" si="21"/>
        <v>8729</v>
      </c>
      <c r="AV46" s="26">
        <f t="shared" si="22"/>
        <v>9318</v>
      </c>
      <c r="AW46" s="26">
        <f t="shared" si="23"/>
        <v>1.0525375268048691</v>
      </c>
      <c r="AX46" s="1">
        <v>3</v>
      </c>
    </row>
    <row r="47" spans="1:50" s="1" customFormat="1" x14ac:dyDescent="0.25">
      <c r="A47" s="141" t="s">
        <v>128</v>
      </c>
      <c r="B47" s="8">
        <v>7337604</v>
      </c>
      <c r="C47" s="8">
        <v>0</v>
      </c>
      <c r="D47" s="10">
        <v>1</v>
      </c>
      <c r="E47" s="10">
        <v>1</v>
      </c>
      <c r="F47" s="10"/>
      <c r="G47" s="10">
        <f t="shared" si="24"/>
        <v>160475</v>
      </c>
      <c r="H47" s="19">
        <f t="shared" si="25"/>
        <v>160475</v>
      </c>
      <c r="I47" s="19">
        <v>13</v>
      </c>
      <c r="J47" s="19">
        <v>160460</v>
      </c>
      <c r="K47" s="29">
        <f t="shared" si="26"/>
        <v>9.3472503505218889E-3</v>
      </c>
      <c r="L47" s="19" t="s">
        <v>58</v>
      </c>
      <c r="M47" s="23"/>
      <c r="N47" s="23" t="s">
        <v>68</v>
      </c>
      <c r="O47" s="179">
        <f t="shared" si="27"/>
        <v>100</v>
      </c>
      <c r="P47" s="19">
        <v>100</v>
      </c>
      <c r="Q47" s="19">
        <f t="shared" si="37"/>
        <v>0</v>
      </c>
      <c r="R47" s="19"/>
      <c r="S47" s="19">
        <f t="shared" si="38"/>
        <v>36913</v>
      </c>
      <c r="T47" s="19">
        <f t="shared" si="39"/>
        <v>36913</v>
      </c>
      <c r="U47" s="20">
        <f t="shared" si="28"/>
        <v>100</v>
      </c>
      <c r="V47" s="19">
        <v>123562</v>
      </c>
      <c r="W47" s="19">
        <v>123562</v>
      </c>
      <c r="X47" s="187">
        <f t="shared" si="29"/>
        <v>100</v>
      </c>
      <c r="Y47" s="19">
        <v>2423</v>
      </c>
      <c r="Z47" s="20">
        <v>2423</v>
      </c>
      <c r="AA47" s="20">
        <f t="shared" si="30"/>
        <v>100</v>
      </c>
      <c r="AB47" s="20">
        <v>34490</v>
      </c>
      <c r="AC47" s="20">
        <v>34490</v>
      </c>
      <c r="AD47" s="20">
        <f t="shared" si="31"/>
        <v>100</v>
      </c>
      <c r="AE47" s="20">
        <f t="shared" si="32"/>
        <v>158052</v>
      </c>
      <c r="AF47" s="20">
        <f t="shared" si="33"/>
        <v>158052</v>
      </c>
      <c r="AG47" s="187">
        <f t="shared" si="34"/>
        <v>100</v>
      </c>
      <c r="AH47" s="59" t="s">
        <v>51</v>
      </c>
      <c r="AI47" s="19" t="s">
        <v>52</v>
      </c>
      <c r="AJ47" s="1" t="s">
        <v>86</v>
      </c>
      <c r="AL47" s="1" t="str">
        <f t="shared" si="20"/>
        <v/>
      </c>
      <c r="AM47" s="26">
        <f t="shared" si="35"/>
        <v>0</v>
      </c>
      <c r="AN47" s="26"/>
      <c r="AO47" s="26"/>
      <c r="AP47" s="181" t="s">
        <v>52</v>
      </c>
      <c r="AQ47" s="159">
        <v>36913</v>
      </c>
      <c r="AR47" s="159">
        <v>36913</v>
      </c>
      <c r="AS47" s="151">
        <f t="shared" si="36"/>
        <v>100</v>
      </c>
      <c r="AU47" s="26">
        <f t="shared" si="21"/>
        <v>0</v>
      </c>
      <c r="AV47" s="26">
        <f t="shared" si="22"/>
        <v>0</v>
      </c>
      <c r="AW47" s="26">
        <f t="shared" si="23"/>
        <v>0</v>
      </c>
      <c r="AX47" s="1">
        <v>2</v>
      </c>
    </row>
    <row r="48" spans="1:50" s="1" customFormat="1" x14ac:dyDescent="0.25">
      <c r="A48" s="173" t="s">
        <v>316</v>
      </c>
      <c r="B48" s="8">
        <v>8070687</v>
      </c>
      <c r="C48" s="8">
        <v>0</v>
      </c>
      <c r="D48" s="10">
        <v>1</v>
      </c>
      <c r="E48" s="10">
        <v>1</v>
      </c>
      <c r="F48" s="10"/>
      <c r="G48" s="10">
        <f t="shared" si="24"/>
        <v>220274</v>
      </c>
      <c r="H48" s="19">
        <f t="shared" si="25"/>
        <v>220274</v>
      </c>
      <c r="I48" s="19">
        <v>0</v>
      </c>
      <c r="J48" s="19">
        <v>185643</v>
      </c>
      <c r="K48" s="29">
        <f t="shared" si="26"/>
        <v>15.721782870425017</v>
      </c>
      <c r="L48" s="19" t="s">
        <v>58</v>
      </c>
      <c r="M48" s="23">
        <v>42734.522696759261</v>
      </c>
      <c r="N48" s="23"/>
      <c r="O48" s="179">
        <f t="shared" si="27"/>
        <v>100</v>
      </c>
      <c r="P48" s="19">
        <v>98.85</v>
      </c>
      <c r="Q48" s="19">
        <f t="shared" si="37"/>
        <v>1</v>
      </c>
      <c r="R48" s="19"/>
      <c r="S48" s="19">
        <f t="shared" si="38"/>
        <v>97567</v>
      </c>
      <c r="T48" s="19">
        <f t="shared" si="39"/>
        <v>97567</v>
      </c>
      <c r="U48" s="20">
        <f t="shared" si="28"/>
        <v>100</v>
      </c>
      <c r="V48" s="19">
        <v>122707</v>
      </c>
      <c r="W48" s="19">
        <v>122707</v>
      </c>
      <c r="X48" s="187">
        <f t="shared" si="29"/>
        <v>100</v>
      </c>
      <c r="Y48" s="20">
        <v>29304</v>
      </c>
      <c r="Z48" s="20">
        <v>29304</v>
      </c>
      <c r="AA48" s="20">
        <f t="shared" si="30"/>
        <v>100</v>
      </c>
      <c r="AB48" s="20">
        <v>68263</v>
      </c>
      <c r="AC48" s="20">
        <v>68263</v>
      </c>
      <c r="AD48" s="20">
        <f t="shared" si="31"/>
        <v>100</v>
      </c>
      <c r="AE48" s="20">
        <f t="shared" si="32"/>
        <v>190970</v>
      </c>
      <c r="AF48" s="20">
        <f t="shared" si="33"/>
        <v>190970</v>
      </c>
      <c r="AG48" s="187">
        <f t="shared" si="34"/>
        <v>100</v>
      </c>
      <c r="AH48" s="59" t="s">
        <v>564</v>
      </c>
      <c r="AI48" s="19" t="s">
        <v>565</v>
      </c>
      <c r="AJ48" s="1">
        <v>1</v>
      </c>
      <c r="AK48" s="1">
        <v>100</v>
      </c>
      <c r="AL48" s="1">
        <f t="shared" si="20"/>
        <v>100</v>
      </c>
      <c r="AM48" s="26">
        <f t="shared" si="35"/>
        <v>0</v>
      </c>
      <c r="AN48" s="26">
        <f>IF(AL48&gt;0,AM48/AL48,"")</f>
        <v>0</v>
      </c>
      <c r="AO48" s="26">
        <v>443.69724770642199</v>
      </c>
      <c r="AP48" s="181">
        <v>43137</v>
      </c>
      <c r="AQ48" s="159">
        <v>322446</v>
      </c>
      <c r="AR48" s="159">
        <v>80157</v>
      </c>
      <c r="AS48" s="151">
        <f t="shared" si="36"/>
        <v>24.859046165869632</v>
      </c>
      <c r="AU48" s="26">
        <f t="shared" si="21"/>
        <v>-224879</v>
      </c>
      <c r="AV48" s="26">
        <f t="shared" si="22"/>
        <v>17410</v>
      </c>
      <c r="AW48" s="26">
        <f t="shared" si="23"/>
        <v>75.140953834130372</v>
      </c>
      <c r="AX48" s="1">
        <v>4</v>
      </c>
    </row>
    <row r="49" spans="1:50" s="1" customFormat="1" x14ac:dyDescent="0.25">
      <c r="A49" s="141" t="s">
        <v>204</v>
      </c>
      <c r="B49" s="8">
        <v>7336365</v>
      </c>
      <c r="C49" s="8">
        <v>0</v>
      </c>
      <c r="D49" s="10">
        <v>1</v>
      </c>
      <c r="E49" s="10">
        <v>1</v>
      </c>
      <c r="F49" s="10"/>
      <c r="G49" s="10">
        <f t="shared" si="24"/>
        <v>165648</v>
      </c>
      <c r="H49" s="19">
        <f t="shared" si="25"/>
        <v>165648</v>
      </c>
      <c r="I49" s="19">
        <v>892</v>
      </c>
      <c r="J49" s="19">
        <v>160053</v>
      </c>
      <c r="K49" s="29">
        <f t="shared" si="26"/>
        <v>3.377644161112721</v>
      </c>
      <c r="L49" s="19" t="s">
        <v>58</v>
      </c>
      <c r="M49" s="23"/>
      <c r="N49" s="23" t="s">
        <v>81</v>
      </c>
      <c r="O49" s="179">
        <f t="shared" si="27"/>
        <v>100</v>
      </c>
      <c r="P49" s="19">
        <v>95.41</v>
      </c>
      <c r="Q49" s="19">
        <f t="shared" si="37"/>
        <v>5</v>
      </c>
      <c r="R49" s="19"/>
      <c r="S49" s="19">
        <f t="shared" si="38"/>
        <v>43512</v>
      </c>
      <c r="T49" s="19">
        <f t="shared" si="39"/>
        <v>43512</v>
      </c>
      <c r="U49" s="20">
        <f t="shared" si="28"/>
        <v>100</v>
      </c>
      <c r="V49" s="19">
        <v>122136</v>
      </c>
      <c r="W49" s="19">
        <v>122136</v>
      </c>
      <c r="X49" s="187">
        <f t="shared" si="29"/>
        <v>100</v>
      </c>
      <c r="Y49" s="20">
        <v>5377</v>
      </c>
      <c r="Z49" s="20">
        <v>5377</v>
      </c>
      <c r="AA49" s="20">
        <f t="shared" si="30"/>
        <v>100</v>
      </c>
      <c r="AB49" s="20">
        <v>38135</v>
      </c>
      <c r="AC49" s="20">
        <v>38135</v>
      </c>
      <c r="AD49" s="20">
        <f t="shared" si="31"/>
        <v>100</v>
      </c>
      <c r="AE49" s="20">
        <f t="shared" si="32"/>
        <v>160271</v>
      </c>
      <c r="AF49" s="20">
        <f t="shared" si="33"/>
        <v>160271</v>
      </c>
      <c r="AG49" s="187">
        <f t="shared" si="34"/>
        <v>100</v>
      </c>
      <c r="AH49" s="59" t="s">
        <v>470</v>
      </c>
      <c r="AI49" s="19">
        <v>0</v>
      </c>
      <c r="AJ49" s="1">
        <v>8</v>
      </c>
      <c r="AK49" s="1">
        <v>27</v>
      </c>
      <c r="AL49" s="1">
        <f t="shared" si="20"/>
        <v>216</v>
      </c>
      <c r="AM49" s="26">
        <f t="shared" si="35"/>
        <v>0</v>
      </c>
      <c r="AN49" s="26">
        <f>IF(AL49&gt;0,AM49/AL49,"")</f>
        <v>0</v>
      </c>
      <c r="AO49" s="26">
        <v>381.38345864661653</v>
      </c>
      <c r="AP49" s="181" t="s">
        <v>52</v>
      </c>
      <c r="AQ49" s="159">
        <v>32147</v>
      </c>
      <c r="AR49" s="159">
        <v>32070</v>
      </c>
      <c r="AS49" s="151">
        <f t="shared" si="36"/>
        <v>99.760475316514757</v>
      </c>
      <c r="AU49" s="26">
        <f t="shared" si="21"/>
        <v>11365</v>
      </c>
      <c r="AV49" s="26">
        <f t="shared" si="22"/>
        <v>11442</v>
      </c>
      <c r="AW49" s="26">
        <f t="shared" si="23"/>
        <v>0.23952468348524292</v>
      </c>
      <c r="AX49" s="1">
        <v>1</v>
      </c>
    </row>
    <row r="50" spans="1:50" s="1" customFormat="1" x14ac:dyDescent="0.25">
      <c r="A50" s="141" t="s">
        <v>276</v>
      </c>
      <c r="B50" s="8">
        <v>7212674</v>
      </c>
      <c r="C50" s="8">
        <v>0</v>
      </c>
      <c r="D50" s="10">
        <v>1</v>
      </c>
      <c r="E50" s="10">
        <v>1</v>
      </c>
      <c r="F50" s="10"/>
      <c r="G50" s="10">
        <f t="shared" si="24"/>
        <v>190250</v>
      </c>
      <c r="H50" s="19">
        <f t="shared" si="25"/>
        <v>190250</v>
      </c>
      <c r="I50" s="19">
        <v>0</v>
      </c>
      <c r="J50" s="19">
        <v>190437</v>
      </c>
      <c r="K50" s="29">
        <f t="shared" si="26"/>
        <v>-9.8291721419185282E-2</v>
      </c>
      <c r="L50" s="19" t="s">
        <v>58</v>
      </c>
      <c r="M50" s="23">
        <v>40673.56659722222</v>
      </c>
      <c r="N50" s="23"/>
      <c r="O50" s="179">
        <f t="shared" si="27"/>
        <v>100</v>
      </c>
      <c r="P50" s="19">
        <v>100</v>
      </c>
      <c r="Q50" s="19">
        <f t="shared" si="37"/>
        <v>0</v>
      </c>
      <c r="R50" s="19"/>
      <c r="S50" s="19">
        <f t="shared" si="38"/>
        <v>72395</v>
      </c>
      <c r="T50" s="19">
        <f t="shared" si="39"/>
        <v>72395</v>
      </c>
      <c r="U50" s="20">
        <f t="shared" si="28"/>
        <v>100</v>
      </c>
      <c r="V50" s="19">
        <v>117855</v>
      </c>
      <c r="W50" s="19">
        <v>117855</v>
      </c>
      <c r="X50" s="187">
        <f t="shared" si="29"/>
        <v>100</v>
      </c>
      <c r="Y50" s="19">
        <v>8408</v>
      </c>
      <c r="Z50" s="20">
        <v>8408</v>
      </c>
      <c r="AA50" s="20">
        <f t="shared" si="30"/>
        <v>100</v>
      </c>
      <c r="AB50" s="20">
        <v>63987</v>
      </c>
      <c r="AC50" s="20">
        <v>63987</v>
      </c>
      <c r="AD50" s="20">
        <f t="shared" si="31"/>
        <v>100</v>
      </c>
      <c r="AE50" s="20">
        <f t="shared" si="32"/>
        <v>181842</v>
      </c>
      <c r="AF50" s="20">
        <f t="shared" si="33"/>
        <v>181842</v>
      </c>
      <c r="AG50" s="187">
        <f t="shared" si="34"/>
        <v>100</v>
      </c>
      <c r="AH50" s="59" t="s">
        <v>360</v>
      </c>
      <c r="AI50" s="19" t="s">
        <v>52</v>
      </c>
      <c r="AL50" s="1" t="str">
        <f t="shared" si="20"/>
        <v/>
      </c>
      <c r="AM50" s="26">
        <f t="shared" si="35"/>
        <v>0</v>
      </c>
      <c r="AN50" s="26"/>
      <c r="AO50" s="26"/>
      <c r="AP50" s="181" t="s">
        <v>52</v>
      </c>
      <c r="AQ50" s="159">
        <v>67458</v>
      </c>
      <c r="AR50" s="159">
        <v>67458</v>
      </c>
      <c r="AS50" s="151">
        <f t="shared" si="36"/>
        <v>100</v>
      </c>
      <c r="AU50" s="26">
        <f t="shared" si="21"/>
        <v>4937</v>
      </c>
      <c r="AV50" s="26">
        <f t="shared" si="22"/>
        <v>4937</v>
      </c>
      <c r="AW50" s="26">
        <f t="shared" si="23"/>
        <v>0</v>
      </c>
      <c r="AX50" s="1">
        <v>1</v>
      </c>
    </row>
    <row r="51" spans="1:50" s="1" customFormat="1" x14ac:dyDescent="0.25">
      <c r="A51" s="141" t="s">
        <v>113</v>
      </c>
      <c r="B51" s="8">
        <v>7184549</v>
      </c>
      <c r="C51" s="8">
        <v>0</v>
      </c>
      <c r="D51" s="10">
        <v>1</v>
      </c>
      <c r="E51" s="10">
        <v>1</v>
      </c>
      <c r="F51" s="10"/>
      <c r="G51" s="10">
        <f t="shared" si="24"/>
        <v>180752</v>
      </c>
      <c r="H51" s="19">
        <f t="shared" si="25"/>
        <v>180752</v>
      </c>
      <c r="I51" s="19">
        <v>2707</v>
      </c>
      <c r="J51" s="19">
        <v>130361</v>
      </c>
      <c r="K51" s="29">
        <f t="shared" si="26"/>
        <v>27.878529698149951</v>
      </c>
      <c r="L51" s="19" t="s">
        <v>58</v>
      </c>
      <c r="M51" s="23">
        <v>42228.404421296298</v>
      </c>
      <c r="N51" s="23" t="s">
        <v>60</v>
      </c>
      <c r="O51" s="179">
        <f t="shared" si="27"/>
        <v>100</v>
      </c>
      <c r="P51" s="19">
        <v>89.3</v>
      </c>
      <c r="Q51" s="19">
        <f t="shared" si="37"/>
        <v>11</v>
      </c>
      <c r="R51" s="19"/>
      <c r="S51" s="19">
        <f t="shared" si="38"/>
        <v>66893</v>
      </c>
      <c r="T51" s="19">
        <f t="shared" si="39"/>
        <v>66893</v>
      </c>
      <c r="U51" s="20">
        <f t="shared" si="28"/>
        <v>100</v>
      </c>
      <c r="V51" s="19">
        <v>113859</v>
      </c>
      <c r="W51" s="19">
        <v>113859</v>
      </c>
      <c r="X51" s="187">
        <f t="shared" si="29"/>
        <v>100</v>
      </c>
      <c r="Y51" s="20">
        <v>13013</v>
      </c>
      <c r="Z51" s="20">
        <v>13013</v>
      </c>
      <c r="AA51" s="20">
        <f t="shared" si="30"/>
        <v>100</v>
      </c>
      <c r="AB51" s="20">
        <v>53880</v>
      </c>
      <c r="AC51" s="20">
        <v>53880</v>
      </c>
      <c r="AD51" s="20">
        <f t="shared" si="31"/>
        <v>100</v>
      </c>
      <c r="AE51" s="20">
        <f t="shared" si="32"/>
        <v>167739</v>
      </c>
      <c r="AF51" s="20">
        <f t="shared" si="33"/>
        <v>167739</v>
      </c>
      <c r="AG51" s="187">
        <f t="shared" si="34"/>
        <v>100</v>
      </c>
      <c r="AH51" s="59" t="s">
        <v>542</v>
      </c>
      <c r="AI51" s="19" t="s">
        <v>471</v>
      </c>
      <c r="AJ51" s="1">
        <v>14</v>
      </c>
      <c r="AK51" s="1">
        <v>40</v>
      </c>
      <c r="AL51" s="1">
        <f t="shared" si="20"/>
        <v>560</v>
      </c>
      <c r="AM51" s="26">
        <f t="shared" si="35"/>
        <v>0</v>
      </c>
      <c r="AN51" s="26">
        <f>IF(AL51&gt;0,AM51/AL51,"")</f>
        <v>0</v>
      </c>
      <c r="AO51" s="26">
        <v>358.2439024390244</v>
      </c>
      <c r="AP51" s="181">
        <v>43125</v>
      </c>
      <c r="AQ51" s="159">
        <v>43279</v>
      </c>
      <c r="AR51" s="159">
        <v>20917</v>
      </c>
      <c r="AS51" s="151">
        <f t="shared" si="36"/>
        <v>48.330599135839556</v>
      </c>
      <c r="AU51" s="26">
        <f t="shared" si="21"/>
        <v>23614</v>
      </c>
      <c r="AV51" s="26">
        <f t="shared" si="22"/>
        <v>45976</v>
      </c>
      <c r="AW51" s="26">
        <f t="shared" si="23"/>
        <v>51.669400864160444</v>
      </c>
      <c r="AX51" s="1">
        <v>1</v>
      </c>
    </row>
    <row r="52" spans="1:50" s="1" customFormat="1" x14ac:dyDescent="0.25">
      <c r="A52" s="173" t="s">
        <v>323</v>
      </c>
      <c r="B52" s="8">
        <v>7175221</v>
      </c>
      <c r="C52" s="8">
        <v>0</v>
      </c>
      <c r="D52" s="10">
        <v>1</v>
      </c>
      <c r="E52" s="10">
        <v>1</v>
      </c>
      <c r="F52" s="10"/>
      <c r="G52" s="10">
        <f t="shared" si="24"/>
        <v>216567</v>
      </c>
      <c r="H52" s="19">
        <f t="shared" si="25"/>
        <v>216567</v>
      </c>
      <c r="I52" s="19">
        <v>0</v>
      </c>
      <c r="J52" s="19">
        <v>203964</v>
      </c>
      <c r="K52" s="29">
        <f t="shared" si="26"/>
        <v>5.8194461760101959</v>
      </c>
      <c r="L52" s="19" t="s">
        <v>58</v>
      </c>
      <c r="M52" s="23">
        <v>42761.375428240739</v>
      </c>
      <c r="N52" s="23"/>
      <c r="O52" s="179">
        <f t="shared" si="27"/>
        <v>100</v>
      </c>
      <c r="P52" s="19">
        <v>100</v>
      </c>
      <c r="Q52" s="19">
        <f t="shared" si="37"/>
        <v>0</v>
      </c>
      <c r="R52" s="19"/>
      <c r="S52" s="19">
        <f t="shared" si="38"/>
        <v>102854</v>
      </c>
      <c r="T52" s="19">
        <f t="shared" si="39"/>
        <v>102854</v>
      </c>
      <c r="U52" s="20">
        <f t="shared" si="28"/>
        <v>100</v>
      </c>
      <c r="V52" s="19">
        <v>113713</v>
      </c>
      <c r="W52" s="19">
        <v>113713</v>
      </c>
      <c r="X52" s="187">
        <f t="shared" si="29"/>
        <v>100</v>
      </c>
      <c r="Y52" s="19">
        <v>27014</v>
      </c>
      <c r="Z52" s="20">
        <v>27014</v>
      </c>
      <c r="AA52" s="20">
        <f t="shared" si="30"/>
        <v>100</v>
      </c>
      <c r="AB52" s="20">
        <v>75840</v>
      </c>
      <c r="AC52" s="20">
        <v>75840</v>
      </c>
      <c r="AD52" s="20">
        <f t="shared" si="31"/>
        <v>100</v>
      </c>
      <c r="AE52" s="20">
        <f t="shared" si="32"/>
        <v>189553</v>
      </c>
      <c r="AF52" s="20">
        <f t="shared" si="33"/>
        <v>189553</v>
      </c>
      <c r="AG52" s="187">
        <f t="shared" si="34"/>
        <v>100</v>
      </c>
      <c r="AH52" s="59" t="s">
        <v>478</v>
      </c>
      <c r="AI52" s="19" t="s">
        <v>543</v>
      </c>
      <c r="AL52" s="1" t="str">
        <f t="shared" si="20"/>
        <v/>
      </c>
      <c r="AM52" s="26">
        <f t="shared" si="35"/>
        <v>0</v>
      </c>
      <c r="AN52" s="26"/>
      <c r="AO52" s="26"/>
      <c r="AP52" s="181" t="s">
        <v>253</v>
      </c>
      <c r="AQ52" s="159">
        <v>67071</v>
      </c>
      <c r="AR52" s="159">
        <v>67071</v>
      </c>
      <c r="AS52" s="151">
        <f t="shared" si="36"/>
        <v>100</v>
      </c>
      <c r="AU52" s="26">
        <f t="shared" si="21"/>
        <v>35783</v>
      </c>
      <c r="AV52" s="26">
        <f t="shared" si="22"/>
        <v>35783</v>
      </c>
      <c r="AW52" s="26">
        <f t="shared" si="23"/>
        <v>0</v>
      </c>
      <c r="AX52" s="1">
        <v>4</v>
      </c>
    </row>
    <row r="53" spans="1:50" s="1" customFormat="1" ht="14.25" customHeight="1" x14ac:dyDescent="0.25">
      <c r="A53" s="141" t="s">
        <v>279</v>
      </c>
      <c r="B53" s="8">
        <v>7198264</v>
      </c>
      <c r="C53" s="8">
        <v>0</v>
      </c>
      <c r="D53" s="10">
        <v>1</v>
      </c>
      <c r="E53" s="10">
        <v>1</v>
      </c>
      <c r="F53" s="10"/>
      <c r="G53" s="10">
        <f t="shared" si="24"/>
        <v>166687</v>
      </c>
      <c r="H53" s="19">
        <f t="shared" si="25"/>
        <v>166687</v>
      </c>
      <c r="I53" s="19">
        <v>0</v>
      </c>
      <c r="J53" s="19">
        <v>166460</v>
      </c>
      <c r="K53" s="29">
        <f t="shared" si="26"/>
        <v>0.13618338562695351</v>
      </c>
      <c r="L53" s="19" t="s">
        <v>58</v>
      </c>
      <c r="M53" s="23"/>
      <c r="N53" s="23">
        <v>42559</v>
      </c>
      <c r="O53" s="179">
        <f t="shared" si="27"/>
        <v>100</v>
      </c>
      <c r="P53" s="19">
        <v>100</v>
      </c>
      <c r="Q53" s="19">
        <f t="shared" si="37"/>
        <v>0</v>
      </c>
      <c r="R53" s="19"/>
      <c r="S53" s="19">
        <f t="shared" si="38"/>
        <v>54108</v>
      </c>
      <c r="T53" s="19">
        <f t="shared" si="39"/>
        <v>54108</v>
      </c>
      <c r="U53" s="20">
        <f t="shared" si="28"/>
        <v>100</v>
      </c>
      <c r="V53" s="19">
        <v>112579</v>
      </c>
      <c r="W53" s="19">
        <v>112579</v>
      </c>
      <c r="X53" s="187">
        <f t="shared" si="29"/>
        <v>100</v>
      </c>
      <c r="Y53" s="19">
        <v>2290</v>
      </c>
      <c r="Z53" s="20">
        <v>2290</v>
      </c>
      <c r="AA53" s="20">
        <f t="shared" si="30"/>
        <v>100</v>
      </c>
      <c r="AB53" s="20">
        <v>51818</v>
      </c>
      <c r="AC53" s="20">
        <v>51818</v>
      </c>
      <c r="AD53" s="20">
        <f t="shared" si="31"/>
        <v>100</v>
      </c>
      <c r="AE53" s="20">
        <f t="shared" si="32"/>
        <v>164397</v>
      </c>
      <c r="AF53" s="20">
        <f t="shared" si="33"/>
        <v>164397</v>
      </c>
      <c r="AG53" s="187">
        <f t="shared" si="34"/>
        <v>100</v>
      </c>
      <c r="AH53" s="59" t="s">
        <v>445</v>
      </c>
      <c r="AI53" s="19" t="s">
        <v>502</v>
      </c>
      <c r="AL53" s="1" t="str">
        <f t="shared" si="20"/>
        <v/>
      </c>
      <c r="AM53" s="26">
        <f t="shared" si="35"/>
        <v>0</v>
      </c>
      <c r="AN53" s="26"/>
      <c r="AO53" s="26">
        <v>15.230769230769232</v>
      </c>
      <c r="AP53" s="181" t="s">
        <v>52</v>
      </c>
      <c r="AQ53" s="159">
        <v>51748</v>
      </c>
      <c r="AR53" s="159">
        <v>51748</v>
      </c>
      <c r="AS53" s="151">
        <f t="shared" si="36"/>
        <v>100</v>
      </c>
      <c r="AU53" s="26">
        <f t="shared" si="21"/>
        <v>2360</v>
      </c>
      <c r="AV53" s="26">
        <f t="shared" si="22"/>
        <v>2360</v>
      </c>
      <c r="AW53" s="26">
        <f t="shared" si="23"/>
        <v>0</v>
      </c>
      <c r="AX53" s="1">
        <v>2</v>
      </c>
    </row>
    <row r="54" spans="1:50" s="1" customFormat="1" x14ac:dyDescent="0.25">
      <c r="A54" s="142" t="s">
        <v>152</v>
      </c>
      <c r="B54">
        <v>7193807</v>
      </c>
      <c r="C54" s="8">
        <v>1</v>
      </c>
      <c r="D54" s="10">
        <v>1</v>
      </c>
      <c r="E54" s="10">
        <v>1</v>
      </c>
      <c r="F54" s="13"/>
      <c r="G54" s="10">
        <f t="shared" si="24"/>
        <v>121218</v>
      </c>
      <c r="H54" s="19">
        <f t="shared" si="25"/>
        <v>121218</v>
      </c>
      <c r="I54" s="19">
        <v>32</v>
      </c>
      <c r="J54" s="19">
        <v>115257</v>
      </c>
      <c r="K54" s="29">
        <f t="shared" si="26"/>
        <v>4.9175864970548924</v>
      </c>
      <c r="L54" s="19" t="s">
        <v>58</v>
      </c>
      <c r="M54" s="23"/>
      <c r="N54" s="23">
        <v>42697</v>
      </c>
      <c r="O54" s="179">
        <f t="shared" si="27"/>
        <v>100</v>
      </c>
      <c r="P54" s="21">
        <v>96.5</v>
      </c>
      <c r="Q54" s="19">
        <f t="shared" si="37"/>
        <v>4</v>
      </c>
      <c r="R54" s="19"/>
      <c r="S54" s="19">
        <f t="shared" si="38"/>
        <v>13215</v>
      </c>
      <c r="T54" s="19">
        <f t="shared" si="39"/>
        <v>13215</v>
      </c>
      <c r="U54" s="20">
        <f t="shared" si="28"/>
        <v>100</v>
      </c>
      <c r="V54" s="19">
        <v>108003</v>
      </c>
      <c r="W54" s="22">
        <v>108003</v>
      </c>
      <c r="X54" s="20">
        <f t="shared" si="29"/>
        <v>100</v>
      </c>
      <c r="Y54" s="20">
        <v>0</v>
      </c>
      <c r="Z54" s="20">
        <v>0</v>
      </c>
      <c r="AA54" s="20" t="str">
        <f t="shared" si="30"/>
        <v/>
      </c>
      <c r="AB54" s="20">
        <v>13215</v>
      </c>
      <c r="AC54" s="20">
        <v>13215</v>
      </c>
      <c r="AD54" s="20">
        <f t="shared" si="31"/>
        <v>100</v>
      </c>
      <c r="AE54" s="20">
        <f t="shared" si="32"/>
        <v>121218</v>
      </c>
      <c r="AF54" s="20">
        <f t="shared" si="33"/>
        <v>121218</v>
      </c>
      <c r="AG54" s="20">
        <f t="shared" si="34"/>
        <v>100</v>
      </c>
      <c r="AH54" s="59" t="s">
        <v>518</v>
      </c>
      <c r="AI54" s="19">
        <v>0</v>
      </c>
      <c r="AL54" s="1" t="str">
        <f t="shared" si="20"/>
        <v/>
      </c>
      <c r="AM54" s="26">
        <f t="shared" si="35"/>
        <v>0</v>
      </c>
      <c r="AN54" s="26"/>
      <c r="AO54" s="26">
        <v>7.7879177377892033</v>
      </c>
      <c r="AP54" s="181">
        <v>43190</v>
      </c>
      <c r="AQ54" s="159">
        <v>13215</v>
      </c>
      <c r="AR54" s="22">
        <v>12120</v>
      </c>
      <c r="AS54" s="151">
        <f t="shared" si="36"/>
        <v>91.713961407491482</v>
      </c>
      <c r="AU54" s="26">
        <f t="shared" si="21"/>
        <v>0</v>
      </c>
      <c r="AV54" s="26">
        <f t="shared" si="22"/>
        <v>1095</v>
      </c>
      <c r="AW54" s="26">
        <f t="shared" si="23"/>
        <v>8.2860385925085183</v>
      </c>
      <c r="AX54" s="1">
        <v>2</v>
      </c>
    </row>
    <row r="55" spans="1:50" s="1" customFormat="1" x14ac:dyDescent="0.25">
      <c r="A55" s="141" t="s">
        <v>125</v>
      </c>
      <c r="B55" s="8">
        <v>7208529</v>
      </c>
      <c r="C55" s="8">
        <v>0</v>
      </c>
      <c r="D55" s="10">
        <v>1</v>
      </c>
      <c r="E55" s="10">
        <v>1</v>
      </c>
      <c r="F55" s="10"/>
      <c r="G55" s="10">
        <f t="shared" si="24"/>
        <v>158633</v>
      </c>
      <c r="H55" s="19">
        <f t="shared" si="25"/>
        <v>158633</v>
      </c>
      <c r="I55" s="19">
        <v>4433</v>
      </c>
      <c r="J55" s="19">
        <v>145493</v>
      </c>
      <c r="K55" s="29">
        <f t="shared" si="26"/>
        <v>8.2832701896831047</v>
      </c>
      <c r="L55" s="19" t="s">
        <v>58</v>
      </c>
      <c r="M55" s="23">
        <v>42670.390104166669</v>
      </c>
      <c r="N55" s="23"/>
      <c r="O55" s="179">
        <f t="shared" si="27"/>
        <v>100</v>
      </c>
      <c r="P55" s="19">
        <v>76.45</v>
      </c>
      <c r="Q55" s="19">
        <f t="shared" si="37"/>
        <v>24</v>
      </c>
      <c r="R55" s="19"/>
      <c r="S55" s="19">
        <f t="shared" si="38"/>
        <v>51374</v>
      </c>
      <c r="T55" s="19">
        <f t="shared" si="39"/>
        <v>51374</v>
      </c>
      <c r="U55" s="20">
        <f t="shared" si="28"/>
        <v>100</v>
      </c>
      <c r="V55" s="19">
        <v>107259</v>
      </c>
      <c r="W55" s="19">
        <v>107259</v>
      </c>
      <c r="X55" s="187">
        <f t="shared" si="29"/>
        <v>100</v>
      </c>
      <c r="Y55" s="20">
        <v>8275</v>
      </c>
      <c r="Z55" s="20">
        <v>8275</v>
      </c>
      <c r="AA55" s="20">
        <f t="shared" si="30"/>
        <v>100</v>
      </c>
      <c r="AB55" s="20">
        <v>43099</v>
      </c>
      <c r="AC55" s="20">
        <v>43099</v>
      </c>
      <c r="AD55" s="20">
        <f t="shared" si="31"/>
        <v>100</v>
      </c>
      <c r="AE55" s="20">
        <f t="shared" si="32"/>
        <v>150358</v>
      </c>
      <c r="AF55" s="20">
        <f t="shared" si="33"/>
        <v>150358</v>
      </c>
      <c r="AG55" s="187">
        <f t="shared" si="34"/>
        <v>100</v>
      </c>
      <c r="AH55" s="59" t="s">
        <v>459</v>
      </c>
      <c r="AI55" s="19" t="s">
        <v>519</v>
      </c>
      <c r="AJ55" s="1">
        <v>19</v>
      </c>
      <c r="AK55" s="1">
        <v>30</v>
      </c>
      <c r="AL55" s="1">
        <f t="shared" si="20"/>
        <v>570</v>
      </c>
      <c r="AM55" s="26">
        <f t="shared" si="35"/>
        <v>0</v>
      </c>
      <c r="AN55" s="26">
        <f>IF(AL55&gt;0,AM55/AL55,"")</f>
        <v>0</v>
      </c>
      <c r="AO55" s="26">
        <v>49.612364620938628</v>
      </c>
      <c r="AP55" s="181" t="s">
        <v>52</v>
      </c>
      <c r="AQ55" s="159">
        <v>40827</v>
      </c>
      <c r="AR55" s="159">
        <v>37776</v>
      </c>
      <c r="AS55" s="151">
        <f t="shared" si="36"/>
        <v>92.527004188404732</v>
      </c>
      <c r="AU55" s="26">
        <f t="shared" si="21"/>
        <v>10547</v>
      </c>
      <c r="AV55" s="26">
        <f t="shared" si="22"/>
        <v>13598</v>
      </c>
      <c r="AW55" s="26">
        <f t="shared" si="23"/>
        <v>7.4729958115952684</v>
      </c>
      <c r="AX55" s="1">
        <v>2</v>
      </c>
    </row>
    <row r="56" spans="1:50" s="1" customFormat="1" x14ac:dyDescent="0.25">
      <c r="A56" s="174" t="s">
        <v>27</v>
      </c>
      <c r="B56" s="8">
        <v>0</v>
      </c>
      <c r="C56" s="8">
        <v>1</v>
      </c>
      <c r="D56" s="10">
        <v>1</v>
      </c>
      <c r="E56" s="10">
        <v>1</v>
      </c>
      <c r="F56" s="10"/>
      <c r="G56" s="10">
        <f t="shared" si="24"/>
        <v>129245</v>
      </c>
      <c r="H56" s="19">
        <f t="shared" si="25"/>
        <v>129245</v>
      </c>
      <c r="I56" s="19">
        <v>0</v>
      </c>
      <c r="J56" s="19">
        <v>140063</v>
      </c>
      <c r="K56" s="29">
        <f t="shared" si="26"/>
        <v>-8.3701497156563125</v>
      </c>
      <c r="L56" s="19" t="s">
        <v>58</v>
      </c>
      <c r="M56" s="23">
        <v>42774.507777777777</v>
      </c>
      <c r="N56" s="23"/>
      <c r="O56" s="179">
        <f t="shared" si="27"/>
        <v>100</v>
      </c>
      <c r="P56" s="19">
        <v>100</v>
      </c>
      <c r="Q56" s="19">
        <f t="shared" si="37"/>
        <v>0</v>
      </c>
      <c r="R56" s="19"/>
      <c r="S56" s="19">
        <f t="shared" si="38"/>
        <v>24516</v>
      </c>
      <c r="T56" s="19">
        <f t="shared" si="39"/>
        <v>24516</v>
      </c>
      <c r="U56" s="20">
        <f t="shared" si="28"/>
        <v>100</v>
      </c>
      <c r="V56" s="19">
        <v>104729</v>
      </c>
      <c r="W56" s="19">
        <v>104729</v>
      </c>
      <c r="X56" s="20">
        <f t="shared" si="29"/>
        <v>100</v>
      </c>
      <c r="Y56" s="19">
        <v>484</v>
      </c>
      <c r="Z56" s="20">
        <v>484</v>
      </c>
      <c r="AA56" s="20">
        <f t="shared" si="30"/>
        <v>100</v>
      </c>
      <c r="AB56" s="20">
        <v>24032</v>
      </c>
      <c r="AC56" s="20">
        <v>24032</v>
      </c>
      <c r="AD56" s="20">
        <f t="shared" si="31"/>
        <v>100</v>
      </c>
      <c r="AE56" s="20">
        <f t="shared" si="32"/>
        <v>128761</v>
      </c>
      <c r="AF56" s="20">
        <f t="shared" si="33"/>
        <v>128761</v>
      </c>
      <c r="AG56" s="20">
        <f t="shared" si="34"/>
        <v>100</v>
      </c>
      <c r="AH56" s="59" t="s">
        <v>369</v>
      </c>
      <c r="AI56" s="19">
        <v>0</v>
      </c>
      <c r="AL56" s="1" t="str">
        <f t="shared" si="20"/>
        <v/>
      </c>
      <c r="AM56" s="26">
        <f t="shared" si="35"/>
        <v>0</v>
      </c>
      <c r="AN56" s="26" t="e">
        <f>IF(AL56&gt;0,AM56/AL56,"")</f>
        <v>#VALUE!</v>
      </c>
      <c r="AO56" s="26">
        <v>95.910349854227405</v>
      </c>
      <c r="AP56" s="181" t="s">
        <v>52</v>
      </c>
      <c r="AQ56" s="159">
        <v>24996</v>
      </c>
      <c r="AR56" s="159">
        <v>24996</v>
      </c>
      <c r="AS56" s="151">
        <f t="shared" si="36"/>
        <v>100</v>
      </c>
      <c r="AU56" s="26">
        <f t="shared" si="21"/>
        <v>-480</v>
      </c>
      <c r="AV56" s="26">
        <f t="shared" si="22"/>
        <v>-480</v>
      </c>
      <c r="AW56" s="26">
        <f t="shared" si="23"/>
        <v>0</v>
      </c>
      <c r="AX56" s="1">
        <v>4</v>
      </c>
    </row>
    <row r="57" spans="1:50" s="1" customFormat="1" x14ac:dyDescent="0.25">
      <c r="A57" s="173" t="s">
        <v>121</v>
      </c>
      <c r="B57" s="8">
        <v>8359466</v>
      </c>
      <c r="C57" s="8">
        <v>0</v>
      </c>
      <c r="D57" s="10">
        <v>1</v>
      </c>
      <c r="E57" s="10">
        <v>1</v>
      </c>
      <c r="F57" s="10"/>
      <c r="G57" s="10">
        <f t="shared" si="24"/>
        <v>232535</v>
      </c>
      <c r="H57" s="19">
        <f t="shared" si="25"/>
        <v>232535</v>
      </c>
      <c r="I57" s="19">
        <v>0</v>
      </c>
      <c r="J57" s="19">
        <v>210918</v>
      </c>
      <c r="K57" s="29">
        <f t="shared" si="26"/>
        <v>9.2962349753800506</v>
      </c>
      <c r="L57" s="19" t="s">
        <v>58</v>
      </c>
      <c r="M57" s="23">
        <v>42766.469328703701</v>
      </c>
      <c r="N57" s="23"/>
      <c r="O57" s="179">
        <f t="shared" si="27"/>
        <v>100</v>
      </c>
      <c r="P57" s="19">
        <v>100</v>
      </c>
      <c r="Q57" s="19">
        <f t="shared" si="37"/>
        <v>0</v>
      </c>
      <c r="R57" s="19"/>
      <c r="S57" s="19">
        <f t="shared" si="38"/>
        <v>135908</v>
      </c>
      <c r="T57" s="19">
        <f t="shared" si="39"/>
        <v>135908</v>
      </c>
      <c r="U57" s="20">
        <f t="shared" si="28"/>
        <v>100</v>
      </c>
      <c r="V57" s="19">
        <v>96627</v>
      </c>
      <c r="W57" s="19">
        <v>96627</v>
      </c>
      <c r="X57" s="187">
        <f t="shared" si="29"/>
        <v>100</v>
      </c>
      <c r="Y57" s="20">
        <v>58023</v>
      </c>
      <c r="Z57" s="20">
        <v>58023</v>
      </c>
      <c r="AA57" s="20">
        <f t="shared" si="30"/>
        <v>100</v>
      </c>
      <c r="AB57" s="20">
        <v>77885</v>
      </c>
      <c r="AC57" s="20">
        <v>77885</v>
      </c>
      <c r="AD57" s="20">
        <f t="shared" si="31"/>
        <v>100</v>
      </c>
      <c r="AE57" s="20">
        <f t="shared" si="32"/>
        <v>174512</v>
      </c>
      <c r="AF57" s="20">
        <f t="shared" si="33"/>
        <v>174512</v>
      </c>
      <c r="AG57" s="187">
        <f t="shared" si="34"/>
        <v>100</v>
      </c>
      <c r="AH57" s="59" t="s">
        <v>451</v>
      </c>
      <c r="AI57" s="19" t="s">
        <v>472</v>
      </c>
      <c r="AJ57" s="1" t="s">
        <v>86</v>
      </c>
      <c r="AL57" s="1" t="str">
        <f t="shared" si="20"/>
        <v/>
      </c>
      <c r="AM57" s="26">
        <f t="shared" si="35"/>
        <v>0</v>
      </c>
      <c r="AN57" s="26" t="e">
        <f>IF(AL57&gt;0,AM57/AL57,"")</f>
        <v>#VALUE!</v>
      </c>
      <c r="AO57" s="26">
        <v>292.14754098360658</v>
      </c>
      <c r="AP57" s="181" t="s">
        <v>52</v>
      </c>
      <c r="AQ57" s="159">
        <v>135908</v>
      </c>
      <c r="AR57" s="159">
        <v>119357</v>
      </c>
      <c r="AS57" s="151">
        <f t="shared" si="36"/>
        <v>87.821908938399503</v>
      </c>
      <c r="AU57" s="26">
        <f t="shared" si="21"/>
        <v>0</v>
      </c>
      <c r="AV57" s="26">
        <f t="shared" si="22"/>
        <v>16551</v>
      </c>
      <c r="AW57" s="26">
        <f t="shared" si="23"/>
        <v>12.178091061600497</v>
      </c>
      <c r="AX57" s="1">
        <v>4</v>
      </c>
    </row>
    <row r="58" spans="1:50" s="1" customFormat="1" x14ac:dyDescent="0.25">
      <c r="A58" s="173" t="s">
        <v>179</v>
      </c>
      <c r="B58" s="8">
        <v>7158289</v>
      </c>
      <c r="C58" s="8">
        <v>0</v>
      </c>
      <c r="D58" s="10">
        <v>1</v>
      </c>
      <c r="E58" s="10">
        <v>1</v>
      </c>
      <c r="F58" s="10"/>
      <c r="G58" s="10">
        <f t="shared" si="24"/>
        <v>104531</v>
      </c>
      <c r="H58" s="19">
        <f t="shared" si="25"/>
        <v>104531</v>
      </c>
      <c r="I58" s="19">
        <v>563</v>
      </c>
      <c r="J58" s="19">
        <v>96159</v>
      </c>
      <c r="K58" s="29">
        <f t="shared" si="26"/>
        <v>8.0091073461461182</v>
      </c>
      <c r="L58" s="19" t="s">
        <v>58</v>
      </c>
      <c r="M58" s="23">
        <v>42775.349814814814</v>
      </c>
      <c r="N58" s="23"/>
      <c r="O58" s="179">
        <f t="shared" si="27"/>
        <v>100</v>
      </c>
      <c r="P58" s="19">
        <v>95.4</v>
      </c>
      <c r="Q58" s="19">
        <f t="shared" si="37"/>
        <v>5</v>
      </c>
      <c r="R58" s="19"/>
      <c r="S58" s="19">
        <f t="shared" si="38"/>
        <v>9683</v>
      </c>
      <c r="T58" s="19">
        <f t="shared" si="39"/>
        <v>9683</v>
      </c>
      <c r="U58" s="20">
        <f t="shared" si="28"/>
        <v>100</v>
      </c>
      <c r="V58" s="19">
        <v>94848</v>
      </c>
      <c r="W58" s="19">
        <v>94848</v>
      </c>
      <c r="X58" s="187">
        <f t="shared" si="29"/>
        <v>100</v>
      </c>
      <c r="Y58" s="20">
        <v>3158</v>
      </c>
      <c r="Z58" s="20">
        <v>3158</v>
      </c>
      <c r="AA58" s="20">
        <f t="shared" si="30"/>
        <v>100</v>
      </c>
      <c r="AB58" s="20">
        <v>6525</v>
      </c>
      <c r="AC58" s="20">
        <v>6525</v>
      </c>
      <c r="AD58" s="20">
        <f t="shared" si="31"/>
        <v>100</v>
      </c>
      <c r="AE58" s="20">
        <f t="shared" si="32"/>
        <v>101373</v>
      </c>
      <c r="AF58" s="20">
        <f t="shared" si="33"/>
        <v>101373</v>
      </c>
      <c r="AG58" s="187">
        <f t="shared" si="34"/>
        <v>100</v>
      </c>
      <c r="AH58" s="59" t="s">
        <v>523</v>
      </c>
      <c r="AI58" s="19" t="s">
        <v>52</v>
      </c>
      <c r="AJ58" s="1">
        <v>2</v>
      </c>
      <c r="AK58" s="1">
        <v>60</v>
      </c>
      <c r="AL58" s="1">
        <f t="shared" si="20"/>
        <v>120</v>
      </c>
      <c r="AM58" s="26">
        <f t="shared" si="35"/>
        <v>0</v>
      </c>
      <c r="AN58" s="26">
        <f>IF(AL58&gt;0,AM58/AL58,"")</f>
        <v>0</v>
      </c>
      <c r="AO58" s="26">
        <v>12.213487794786927</v>
      </c>
      <c r="AP58" s="181">
        <v>43344</v>
      </c>
      <c r="AQ58" s="159">
        <v>13363</v>
      </c>
      <c r="AR58" s="159">
        <v>12912</v>
      </c>
      <c r="AS58" s="151">
        <f t="shared" si="36"/>
        <v>96.625009354186929</v>
      </c>
      <c r="AU58" s="26">
        <f t="shared" si="21"/>
        <v>-3680</v>
      </c>
      <c r="AV58" s="26">
        <f t="shared" si="22"/>
        <v>-3229</v>
      </c>
      <c r="AW58" s="26">
        <f t="shared" si="23"/>
        <v>3.374990645813071</v>
      </c>
      <c r="AX58" s="1">
        <v>4</v>
      </c>
    </row>
    <row r="59" spans="1:50" s="1" customFormat="1" x14ac:dyDescent="0.25">
      <c r="A59" s="173" t="s">
        <v>277</v>
      </c>
      <c r="B59" s="8">
        <v>8070555</v>
      </c>
      <c r="C59" s="8">
        <v>0</v>
      </c>
      <c r="D59" s="10">
        <v>1</v>
      </c>
      <c r="E59" s="10">
        <v>1</v>
      </c>
      <c r="F59" s="10"/>
      <c r="G59" s="10">
        <f t="shared" si="24"/>
        <v>183025</v>
      </c>
      <c r="H59" s="19">
        <f t="shared" si="25"/>
        <v>183025</v>
      </c>
      <c r="I59" s="19">
        <v>0</v>
      </c>
      <c r="J59" s="19">
        <v>182707</v>
      </c>
      <c r="K59" s="29">
        <f t="shared" si="26"/>
        <v>0.17374675590766289</v>
      </c>
      <c r="L59" s="19" t="s">
        <v>58</v>
      </c>
      <c r="M59" s="23">
        <v>42776.382523148146</v>
      </c>
      <c r="N59" s="23"/>
      <c r="O59" s="179">
        <f t="shared" si="27"/>
        <v>100</v>
      </c>
      <c r="P59" s="19">
        <v>100</v>
      </c>
      <c r="Q59" s="19">
        <f t="shared" si="37"/>
        <v>0</v>
      </c>
      <c r="R59" s="19"/>
      <c r="S59" s="19">
        <f t="shared" si="38"/>
        <v>88777</v>
      </c>
      <c r="T59" s="19">
        <f t="shared" si="39"/>
        <v>88777</v>
      </c>
      <c r="U59" s="20">
        <f t="shared" si="28"/>
        <v>100</v>
      </c>
      <c r="V59" s="19">
        <v>94248</v>
      </c>
      <c r="W59" s="19">
        <v>94248</v>
      </c>
      <c r="X59" s="187">
        <f t="shared" si="29"/>
        <v>100</v>
      </c>
      <c r="Y59" s="19">
        <v>39723</v>
      </c>
      <c r="Z59" s="20">
        <v>39723</v>
      </c>
      <c r="AA59" s="20">
        <f t="shared" si="30"/>
        <v>100</v>
      </c>
      <c r="AB59" s="20">
        <v>49054</v>
      </c>
      <c r="AC59" s="20">
        <v>49054</v>
      </c>
      <c r="AD59" s="20">
        <f t="shared" si="31"/>
        <v>100</v>
      </c>
      <c r="AE59" s="20">
        <f t="shared" si="32"/>
        <v>143302</v>
      </c>
      <c r="AF59" s="20">
        <f t="shared" si="33"/>
        <v>143302</v>
      </c>
      <c r="AG59" s="187">
        <f t="shared" si="34"/>
        <v>100</v>
      </c>
      <c r="AH59" s="59" t="s">
        <v>123</v>
      </c>
      <c r="AI59" s="19" t="s">
        <v>528</v>
      </c>
      <c r="AL59" s="1" t="str">
        <f t="shared" si="20"/>
        <v/>
      </c>
      <c r="AM59" s="26">
        <f t="shared" si="35"/>
        <v>0</v>
      </c>
      <c r="AN59" s="26"/>
      <c r="AO59" s="26"/>
      <c r="AP59" s="181" t="s">
        <v>52</v>
      </c>
      <c r="AQ59" s="159">
        <v>86192</v>
      </c>
      <c r="AR59" s="159">
        <v>86192</v>
      </c>
      <c r="AS59" s="151">
        <f t="shared" si="36"/>
        <v>100</v>
      </c>
      <c r="AU59" s="26">
        <f t="shared" si="21"/>
        <v>2585</v>
      </c>
      <c r="AV59" s="26">
        <f t="shared" si="22"/>
        <v>2585</v>
      </c>
      <c r="AW59" s="26">
        <f t="shared" si="23"/>
        <v>0</v>
      </c>
      <c r="AX59" s="1">
        <v>4</v>
      </c>
    </row>
    <row r="60" spans="1:50" s="1" customFormat="1" x14ac:dyDescent="0.25">
      <c r="A60" s="173" t="s">
        <v>273</v>
      </c>
      <c r="B60" s="8">
        <v>8060983</v>
      </c>
      <c r="C60" s="8">
        <v>0</v>
      </c>
      <c r="D60" s="10">
        <v>1</v>
      </c>
      <c r="E60" s="10">
        <v>1</v>
      </c>
      <c r="F60" s="10"/>
      <c r="G60" s="10">
        <f t="shared" si="24"/>
        <v>245570</v>
      </c>
      <c r="H60" s="19">
        <f t="shared" si="25"/>
        <v>245570</v>
      </c>
      <c r="I60" s="19">
        <v>0</v>
      </c>
      <c r="J60" s="19">
        <v>240735</v>
      </c>
      <c r="K60" s="29">
        <f t="shared" si="26"/>
        <v>1.96888870790406</v>
      </c>
      <c r="L60" s="19" t="s">
        <v>58</v>
      </c>
      <c r="M60" s="23">
        <v>42775.613553240742</v>
      </c>
      <c r="N60" s="23"/>
      <c r="O60" s="179">
        <f t="shared" si="27"/>
        <v>100</v>
      </c>
      <c r="P60" s="19">
        <v>100</v>
      </c>
      <c r="Q60" s="19">
        <f t="shared" si="37"/>
        <v>0</v>
      </c>
      <c r="R60" s="19"/>
      <c r="S60" s="19">
        <f t="shared" si="38"/>
        <v>153186</v>
      </c>
      <c r="T60" s="19">
        <f t="shared" si="39"/>
        <v>153186</v>
      </c>
      <c r="U60" s="20">
        <f t="shared" si="28"/>
        <v>100</v>
      </c>
      <c r="V60" s="19">
        <v>92384</v>
      </c>
      <c r="W60" s="19">
        <v>92384</v>
      </c>
      <c r="X60" s="187">
        <f t="shared" si="29"/>
        <v>100</v>
      </c>
      <c r="Y60" s="19">
        <v>99459</v>
      </c>
      <c r="Z60" s="20">
        <v>99459</v>
      </c>
      <c r="AA60" s="20">
        <f t="shared" si="30"/>
        <v>100</v>
      </c>
      <c r="AB60" s="20">
        <v>53727</v>
      </c>
      <c r="AC60" s="20">
        <v>53727</v>
      </c>
      <c r="AD60" s="20">
        <f t="shared" si="31"/>
        <v>100</v>
      </c>
      <c r="AE60" s="20">
        <f t="shared" si="32"/>
        <v>146111</v>
      </c>
      <c r="AF60" s="20">
        <f t="shared" si="33"/>
        <v>146111</v>
      </c>
      <c r="AG60" s="187">
        <f t="shared" si="34"/>
        <v>100</v>
      </c>
      <c r="AH60" s="59" t="s">
        <v>355</v>
      </c>
      <c r="AI60" s="19" t="s">
        <v>452</v>
      </c>
      <c r="AL60" s="1" t="str">
        <f t="shared" si="20"/>
        <v/>
      </c>
      <c r="AM60" s="26">
        <f t="shared" si="35"/>
        <v>0</v>
      </c>
      <c r="AO60" s="26"/>
      <c r="AP60" s="181" t="s">
        <v>52</v>
      </c>
      <c r="AQ60" s="159">
        <v>155488</v>
      </c>
      <c r="AR60" s="159">
        <v>155488</v>
      </c>
      <c r="AS60" s="151">
        <f t="shared" si="36"/>
        <v>100</v>
      </c>
      <c r="AU60" s="26">
        <f t="shared" si="21"/>
        <v>-2302</v>
      </c>
      <c r="AV60" s="26">
        <f t="shared" si="22"/>
        <v>-2302</v>
      </c>
      <c r="AW60" s="26">
        <f t="shared" si="23"/>
        <v>0</v>
      </c>
      <c r="AX60" s="1">
        <v>4</v>
      </c>
    </row>
    <row r="61" spans="1:50" s="1" customFormat="1" x14ac:dyDescent="0.25">
      <c r="A61" s="173" t="s">
        <v>194</v>
      </c>
      <c r="B61" s="8">
        <v>8358257</v>
      </c>
      <c r="C61" s="8">
        <v>0</v>
      </c>
      <c r="D61" s="10">
        <v>1</v>
      </c>
      <c r="E61" s="10">
        <v>1</v>
      </c>
      <c r="F61" s="10"/>
      <c r="G61" s="10">
        <f t="shared" si="24"/>
        <v>129249</v>
      </c>
      <c r="H61" s="19">
        <f t="shared" si="25"/>
        <v>129249</v>
      </c>
      <c r="I61" s="19">
        <v>1386</v>
      </c>
      <c r="J61" s="19">
        <v>110032</v>
      </c>
      <c r="K61" s="29">
        <f t="shared" si="26"/>
        <v>14.868200140813467</v>
      </c>
      <c r="L61" s="19" t="s">
        <v>58</v>
      </c>
      <c r="M61" s="23">
        <v>42762.69017361111</v>
      </c>
      <c r="N61" s="23"/>
      <c r="O61" s="179">
        <f t="shared" si="27"/>
        <v>100</v>
      </c>
      <c r="P61" s="19">
        <v>87.44</v>
      </c>
      <c r="Q61" s="19">
        <f t="shared" si="37"/>
        <v>13</v>
      </c>
      <c r="R61" s="19"/>
      <c r="S61" s="19">
        <f t="shared" si="38"/>
        <v>38592</v>
      </c>
      <c r="T61" s="19">
        <f t="shared" si="39"/>
        <v>38592</v>
      </c>
      <c r="U61" s="20">
        <f t="shared" si="28"/>
        <v>100</v>
      </c>
      <c r="V61" s="19">
        <v>90657</v>
      </c>
      <c r="W61" s="19">
        <v>90657</v>
      </c>
      <c r="X61" s="187">
        <f t="shared" si="29"/>
        <v>100</v>
      </c>
      <c r="Y61" s="20">
        <v>4083</v>
      </c>
      <c r="Z61" s="20">
        <v>4083</v>
      </c>
      <c r="AA61" s="20">
        <f t="shared" si="30"/>
        <v>100</v>
      </c>
      <c r="AB61" s="20">
        <v>34509</v>
      </c>
      <c r="AC61" s="20">
        <v>34509</v>
      </c>
      <c r="AD61" s="20">
        <f t="shared" si="31"/>
        <v>100</v>
      </c>
      <c r="AE61" s="20">
        <f t="shared" si="32"/>
        <v>125166</v>
      </c>
      <c r="AF61" s="20">
        <f t="shared" si="33"/>
        <v>125166</v>
      </c>
      <c r="AG61" s="187">
        <f t="shared" si="34"/>
        <v>100</v>
      </c>
      <c r="AH61" s="59" t="s">
        <v>51</v>
      </c>
      <c r="AI61" s="19" t="s">
        <v>52</v>
      </c>
      <c r="AJ61" s="1">
        <v>6</v>
      </c>
      <c r="AK61" s="1">
        <v>50</v>
      </c>
      <c r="AL61" s="1">
        <f t="shared" si="20"/>
        <v>300</v>
      </c>
      <c r="AM61" s="26">
        <f t="shared" si="35"/>
        <v>0</v>
      </c>
      <c r="AN61" s="26">
        <f>IF(AL61&gt;0,AM61/AL61,"")</f>
        <v>0</v>
      </c>
      <c r="AO61" s="26">
        <v>5.6408919087037654</v>
      </c>
      <c r="AP61" s="181">
        <v>43344</v>
      </c>
      <c r="AQ61" s="159">
        <v>34509</v>
      </c>
      <c r="AR61" s="159">
        <v>6150</v>
      </c>
      <c r="AS61" s="151">
        <f t="shared" si="36"/>
        <v>17.82143788576893</v>
      </c>
      <c r="AU61" s="26">
        <f t="shared" si="21"/>
        <v>4083</v>
      </c>
      <c r="AV61" s="26">
        <f t="shared" si="22"/>
        <v>32442</v>
      </c>
      <c r="AW61" s="26">
        <f t="shared" si="23"/>
        <v>82.17856211423107</v>
      </c>
      <c r="AX61" s="1">
        <v>4</v>
      </c>
    </row>
    <row r="62" spans="1:50" s="1" customFormat="1" x14ac:dyDescent="0.25">
      <c r="A62" s="173" t="s">
        <v>156</v>
      </c>
      <c r="B62" s="8">
        <v>8368660</v>
      </c>
      <c r="C62" s="8">
        <v>0</v>
      </c>
      <c r="D62" s="10">
        <v>1</v>
      </c>
      <c r="E62" s="10">
        <v>1</v>
      </c>
      <c r="F62" s="10"/>
      <c r="G62" s="10">
        <f t="shared" si="24"/>
        <v>146346</v>
      </c>
      <c r="H62" s="19">
        <f t="shared" si="25"/>
        <v>146346</v>
      </c>
      <c r="I62" s="19">
        <v>802</v>
      </c>
      <c r="J62" s="19">
        <v>143018</v>
      </c>
      <c r="K62" s="29">
        <f t="shared" si="26"/>
        <v>2.2740628373853746</v>
      </c>
      <c r="L62" s="19" t="s">
        <v>58</v>
      </c>
      <c r="M62" s="23">
        <v>42776.334074074075</v>
      </c>
      <c r="N62" s="23"/>
      <c r="O62" s="179">
        <f t="shared" si="27"/>
        <v>100</v>
      </c>
      <c r="P62" s="19">
        <v>97</v>
      </c>
      <c r="Q62" s="19">
        <f t="shared" si="37"/>
        <v>3</v>
      </c>
      <c r="R62" s="19"/>
      <c r="S62" s="19">
        <f t="shared" si="38"/>
        <v>57294</v>
      </c>
      <c r="T62" s="19">
        <f t="shared" si="39"/>
        <v>57294</v>
      </c>
      <c r="U62" s="20">
        <f t="shared" si="28"/>
        <v>100</v>
      </c>
      <c r="V62" s="19">
        <v>89052</v>
      </c>
      <c r="W62" s="19">
        <v>89052</v>
      </c>
      <c r="X62" s="187">
        <f t="shared" si="29"/>
        <v>100</v>
      </c>
      <c r="Y62" s="19">
        <v>4136</v>
      </c>
      <c r="Z62" s="20">
        <v>4136</v>
      </c>
      <c r="AA62" s="20">
        <f t="shared" si="30"/>
        <v>100</v>
      </c>
      <c r="AB62" s="20">
        <v>53158</v>
      </c>
      <c r="AC62" s="20">
        <v>53158</v>
      </c>
      <c r="AD62" s="20">
        <f t="shared" si="31"/>
        <v>100</v>
      </c>
      <c r="AE62" s="20">
        <f t="shared" si="32"/>
        <v>142210</v>
      </c>
      <c r="AF62" s="20">
        <f t="shared" si="33"/>
        <v>142210</v>
      </c>
      <c r="AG62" s="187">
        <f t="shared" si="34"/>
        <v>100</v>
      </c>
      <c r="AH62" s="59" t="s">
        <v>363</v>
      </c>
      <c r="AI62" s="19" t="s">
        <v>51</v>
      </c>
      <c r="AJ62" s="1">
        <v>4</v>
      </c>
      <c r="AK62" s="1">
        <v>65</v>
      </c>
      <c r="AL62" s="1">
        <f t="shared" si="20"/>
        <v>260</v>
      </c>
      <c r="AM62" s="26">
        <f t="shared" si="35"/>
        <v>0</v>
      </c>
      <c r="AN62" s="26"/>
      <c r="AO62" s="26"/>
      <c r="AP62" s="181" t="s">
        <v>52</v>
      </c>
      <c r="AQ62" s="159">
        <v>57294</v>
      </c>
      <c r="AR62" s="159">
        <v>57294</v>
      </c>
      <c r="AS62" s="151">
        <f t="shared" si="36"/>
        <v>100</v>
      </c>
      <c r="AU62" s="26">
        <f t="shared" si="21"/>
        <v>0</v>
      </c>
      <c r="AV62" s="26">
        <f t="shared" si="22"/>
        <v>0</v>
      </c>
      <c r="AW62" s="26">
        <f t="shared" si="23"/>
        <v>0</v>
      </c>
      <c r="AX62" s="1">
        <v>4</v>
      </c>
    </row>
    <row r="63" spans="1:50" s="1" customFormat="1" x14ac:dyDescent="0.25">
      <c r="A63" s="141" t="s">
        <v>195</v>
      </c>
      <c r="B63" s="8">
        <v>7178590</v>
      </c>
      <c r="C63" s="8">
        <v>0</v>
      </c>
      <c r="D63" s="10">
        <v>1</v>
      </c>
      <c r="E63" s="10">
        <v>1</v>
      </c>
      <c r="F63" s="10"/>
      <c r="G63" s="10">
        <f t="shared" si="24"/>
        <v>142063</v>
      </c>
      <c r="H63" s="19">
        <f t="shared" si="25"/>
        <v>142063</v>
      </c>
      <c r="I63" s="19">
        <v>14824</v>
      </c>
      <c r="J63" s="19">
        <v>136637</v>
      </c>
      <c r="K63" s="29">
        <f t="shared" si="26"/>
        <v>3.8194322237317246</v>
      </c>
      <c r="L63" s="19" t="s">
        <v>58</v>
      </c>
      <c r="M63" s="23"/>
      <c r="N63" s="23">
        <v>42774</v>
      </c>
      <c r="O63" s="179">
        <f t="shared" si="27"/>
        <v>100</v>
      </c>
      <c r="P63" s="19">
        <v>72.14</v>
      </c>
      <c r="Q63" s="19">
        <f t="shared" si="37"/>
        <v>28</v>
      </c>
      <c r="R63" s="19"/>
      <c r="S63" s="19">
        <f t="shared" si="38"/>
        <v>53535</v>
      </c>
      <c r="T63" s="19">
        <f t="shared" si="39"/>
        <v>53535</v>
      </c>
      <c r="U63" s="20">
        <f t="shared" si="28"/>
        <v>100</v>
      </c>
      <c r="V63" s="19">
        <v>88528</v>
      </c>
      <c r="W63" s="19">
        <v>88528</v>
      </c>
      <c r="X63" s="187">
        <f t="shared" si="29"/>
        <v>100</v>
      </c>
      <c r="Y63" s="19">
        <v>4733</v>
      </c>
      <c r="Z63" s="20">
        <v>4733</v>
      </c>
      <c r="AA63" s="20">
        <f t="shared" si="30"/>
        <v>100</v>
      </c>
      <c r="AB63" s="20">
        <v>48802</v>
      </c>
      <c r="AC63" s="20">
        <v>48802</v>
      </c>
      <c r="AD63" s="20">
        <f t="shared" si="31"/>
        <v>100</v>
      </c>
      <c r="AE63" s="20">
        <f t="shared" si="32"/>
        <v>137330</v>
      </c>
      <c r="AF63" s="20">
        <f t="shared" si="33"/>
        <v>137330</v>
      </c>
      <c r="AG63" s="187">
        <f t="shared" si="34"/>
        <v>100</v>
      </c>
      <c r="AH63" s="59" t="s">
        <v>123</v>
      </c>
      <c r="AI63" s="19" t="s">
        <v>52</v>
      </c>
      <c r="AJ63" s="1">
        <v>20</v>
      </c>
      <c r="AK63" s="1">
        <v>40</v>
      </c>
      <c r="AL63" s="1">
        <f t="shared" ref="AL63:AL94" si="40">IF(AK63&gt;0,AK63*AJ63,"")</f>
        <v>800</v>
      </c>
      <c r="AM63" s="26">
        <f t="shared" si="35"/>
        <v>0</v>
      </c>
      <c r="AO63" s="26"/>
      <c r="AP63" s="181">
        <v>43281</v>
      </c>
      <c r="AQ63" s="159">
        <v>50664</v>
      </c>
      <c r="AR63" s="159">
        <v>50664</v>
      </c>
      <c r="AS63" s="151">
        <f t="shared" si="36"/>
        <v>100</v>
      </c>
      <c r="AU63" s="26">
        <f t="shared" si="21"/>
        <v>2871</v>
      </c>
      <c r="AV63" s="26">
        <f t="shared" si="22"/>
        <v>2871</v>
      </c>
      <c r="AW63" s="26">
        <f t="shared" si="23"/>
        <v>0</v>
      </c>
      <c r="AX63" s="1">
        <v>2</v>
      </c>
    </row>
    <row r="64" spans="1:50" s="1" customFormat="1" x14ac:dyDescent="0.25">
      <c r="A64" s="173" t="s">
        <v>201</v>
      </c>
      <c r="B64" s="8">
        <v>7175507</v>
      </c>
      <c r="C64" s="8">
        <v>0</v>
      </c>
      <c r="D64" s="10">
        <v>1</v>
      </c>
      <c r="E64" s="10">
        <v>1</v>
      </c>
      <c r="F64" s="10"/>
      <c r="G64" s="10">
        <f t="shared" si="24"/>
        <v>130326</v>
      </c>
      <c r="H64" s="19">
        <f t="shared" si="25"/>
        <v>130326</v>
      </c>
      <c r="I64" s="19">
        <v>6136</v>
      </c>
      <c r="J64" s="19">
        <v>130781</v>
      </c>
      <c r="K64" s="29">
        <f t="shared" si="26"/>
        <v>-0.34912450316897625</v>
      </c>
      <c r="L64" s="19" t="s">
        <v>58</v>
      </c>
      <c r="M64" s="23">
        <v>42774.301793981482</v>
      </c>
      <c r="N64" s="23"/>
      <c r="O64" s="179">
        <f t="shared" si="27"/>
        <v>100</v>
      </c>
      <c r="P64" s="19">
        <v>76.48</v>
      </c>
      <c r="Q64" s="19">
        <f t="shared" si="37"/>
        <v>24</v>
      </c>
      <c r="R64" s="19"/>
      <c r="S64" s="19">
        <f t="shared" si="38"/>
        <v>44206</v>
      </c>
      <c r="T64" s="19">
        <f t="shared" si="39"/>
        <v>44206</v>
      </c>
      <c r="U64" s="20">
        <f t="shared" si="28"/>
        <v>100</v>
      </c>
      <c r="V64" s="19">
        <v>86120</v>
      </c>
      <c r="W64" s="19">
        <v>86120</v>
      </c>
      <c r="X64" s="187">
        <f t="shared" si="29"/>
        <v>100</v>
      </c>
      <c r="Y64" s="19">
        <v>170</v>
      </c>
      <c r="Z64" s="20">
        <v>170</v>
      </c>
      <c r="AA64" s="20">
        <f t="shared" si="30"/>
        <v>100</v>
      </c>
      <c r="AB64" s="20">
        <v>44036</v>
      </c>
      <c r="AC64" s="20">
        <v>44036</v>
      </c>
      <c r="AD64" s="20">
        <f t="shared" si="31"/>
        <v>100</v>
      </c>
      <c r="AE64" s="20">
        <f t="shared" si="32"/>
        <v>130156</v>
      </c>
      <c r="AF64" s="20">
        <f t="shared" si="33"/>
        <v>130156</v>
      </c>
      <c r="AG64" s="187">
        <f t="shared" si="34"/>
        <v>100</v>
      </c>
      <c r="AH64" s="59" t="s">
        <v>372</v>
      </c>
      <c r="AI64" s="19" t="s">
        <v>123</v>
      </c>
      <c r="AJ64" s="1">
        <v>10</v>
      </c>
      <c r="AK64" s="1">
        <v>25</v>
      </c>
      <c r="AL64" s="1">
        <f t="shared" si="40"/>
        <v>250</v>
      </c>
      <c r="AM64" s="26">
        <f t="shared" si="35"/>
        <v>0</v>
      </c>
      <c r="AN64" s="26">
        <f>IF(AL64&gt;0,AM64/AL64,"")</f>
        <v>0</v>
      </c>
      <c r="AO64" s="26">
        <v>10.940731399747794</v>
      </c>
      <c r="AP64" s="181" t="s">
        <v>52</v>
      </c>
      <c r="AQ64" s="159">
        <v>44206</v>
      </c>
      <c r="AR64" s="159">
        <v>44206</v>
      </c>
      <c r="AS64" s="151">
        <f t="shared" si="36"/>
        <v>100</v>
      </c>
      <c r="AU64" s="26">
        <f t="shared" si="21"/>
        <v>0</v>
      </c>
      <c r="AV64" s="26">
        <f t="shared" si="22"/>
        <v>0</v>
      </c>
      <c r="AW64" s="26">
        <f t="shared" si="23"/>
        <v>0</v>
      </c>
      <c r="AX64" s="1">
        <v>4</v>
      </c>
    </row>
    <row r="65" spans="1:50" s="1" customFormat="1" x14ac:dyDescent="0.25">
      <c r="A65" s="141" t="s">
        <v>189</v>
      </c>
      <c r="B65" s="8">
        <v>7192177</v>
      </c>
      <c r="C65" s="8">
        <v>0</v>
      </c>
      <c r="D65" s="10">
        <v>1</v>
      </c>
      <c r="E65" s="10">
        <v>1</v>
      </c>
      <c r="F65" s="10"/>
      <c r="G65" s="10">
        <f t="shared" si="24"/>
        <v>112576</v>
      </c>
      <c r="H65" s="19">
        <f t="shared" si="25"/>
        <v>112576</v>
      </c>
      <c r="I65" s="19">
        <v>2775</v>
      </c>
      <c r="J65" s="19">
        <v>79880</v>
      </c>
      <c r="K65" s="29">
        <f t="shared" si="26"/>
        <v>29.043490619670266</v>
      </c>
      <c r="L65" s="19" t="s">
        <v>58</v>
      </c>
      <c r="M65" s="23">
        <v>41841.61681712963</v>
      </c>
      <c r="N65" s="23"/>
      <c r="O65" s="179">
        <f t="shared" si="27"/>
        <v>100</v>
      </c>
      <c r="P65" s="19">
        <v>52.41</v>
      </c>
      <c r="Q65" s="19">
        <f t="shared" si="37"/>
        <v>48</v>
      </c>
      <c r="R65" s="19"/>
      <c r="S65" s="19">
        <f t="shared" si="38"/>
        <v>26620</v>
      </c>
      <c r="T65" s="19">
        <f t="shared" si="39"/>
        <v>26620</v>
      </c>
      <c r="U65" s="20">
        <f t="shared" si="28"/>
        <v>100</v>
      </c>
      <c r="V65" s="19">
        <v>85956</v>
      </c>
      <c r="W65" s="19">
        <v>85956</v>
      </c>
      <c r="X65" s="187">
        <f t="shared" si="29"/>
        <v>100</v>
      </c>
      <c r="Y65" s="20">
        <v>417</v>
      </c>
      <c r="Z65" s="20">
        <v>417</v>
      </c>
      <c r="AA65" s="20">
        <f t="shared" si="30"/>
        <v>100</v>
      </c>
      <c r="AB65" s="20">
        <v>26203</v>
      </c>
      <c r="AC65" s="20">
        <v>26203</v>
      </c>
      <c r="AD65" s="20">
        <f t="shared" si="31"/>
        <v>100</v>
      </c>
      <c r="AE65" s="20">
        <f t="shared" si="32"/>
        <v>112159</v>
      </c>
      <c r="AF65" s="20">
        <f t="shared" si="33"/>
        <v>112159</v>
      </c>
      <c r="AG65" s="187">
        <f t="shared" si="34"/>
        <v>100</v>
      </c>
      <c r="AH65" s="59" t="s">
        <v>496</v>
      </c>
      <c r="AI65" s="19" t="s">
        <v>558</v>
      </c>
      <c r="AJ65" s="1">
        <v>9</v>
      </c>
      <c r="AK65" s="1">
        <v>30</v>
      </c>
      <c r="AL65" s="1">
        <f t="shared" si="40"/>
        <v>270</v>
      </c>
      <c r="AM65" s="26">
        <f t="shared" si="35"/>
        <v>0</v>
      </c>
      <c r="AN65" s="26"/>
      <c r="AO65" s="26"/>
      <c r="AP65" s="181">
        <v>43281</v>
      </c>
      <c r="AQ65" s="159">
        <v>30753</v>
      </c>
      <c r="AR65" s="159">
        <v>8320</v>
      </c>
      <c r="AS65" s="151">
        <f t="shared" si="36"/>
        <v>27.05427112802003</v>
      </c>
      <c r="AU65" s="26">
        <f t="shared" si="21"/>
        <v>-4133</v>
      </c>
      <c r="AV65" s="26">
        <f t="shared" si="22"/>
        <v>18300</v>
      </c>
      <c r="AW65" s="26">
        <f t="shared" si="23"/>
        <v>72.945728871979966</v>
      </c>
      <c r="AX65" s="1">
        <v>1</v>
      </c>
    </row>
    <row r="66" spans="1:50" s="1" customFormat="1" x14ac:dyDescent="0.25">
      <c r="A66" s="141" t="s">
        <v>187</v>
      </c>
      <c r="B66" s="8">
        <v>7186207</v>
      </c>
      <c r="C66" s="8">
        <v>0</v>
      </c>
      <c r="D66" s="10">
        <v>1</v>
      </c>
      <c r="E66" s="10">
        <v>1</v>
      </c>
      <c r="F66" s="10"/>
      <c r="G66" s="10">
        <f t="shared" si="24"/>
        <v>131816</v>
      </c>
      <c r="H66" s="19">
        <f t="shared" si="25"/>
        <v>131816</v>
      </c>
      <c r="I66" s="19">
        <v>2053</v>
      </c>
      <c r="J66" s="19">
        <v>109306</v>
      </c>
      <c r="K66" s="29">
        <f t="shared" si="26"/>
        <v>17.076834375189659</v>
      </c>
      <c r="L66" s="19" t="s">
        <v>58</v>
      </c>
      <c r="M66" s="23"/>
      <c r="N66" s="23"/>
      <c r="O66" s="179">
        <f t="shared" si="27"/>
        <v>100</v>
      </c>
      <c r="P66" s="19">
        <v>74.180000000000007</v>
      </c>
      <c r="Q66" s="19">
        <f t="shared" si="37"/>
        <v>26</v>
      </c>
      <c r="R66" s="19"/>
      <c r="S66" s="19">
        <f t="shared" si="38"/>
        <v>46561</v>
      </c>
      <c r="T66" s="19">
        <f t="shared" si="39"/>
        <v>46561</v>
      </c>
      <c r="U66" s="20">
        <f t="shared" si="28"/>
        <v>100</v>
      </c>
      <c r="V66" s="19">
        <v>85255</v>
      </c>
      <c r="W66" s="19">
        <v>85255</v>
      </c>
      <c r="X66" s="187">
        <f t="shared" si="29"/>
        <v>100</v>
      </c>
      <c r="Y66" s="20">
        <v>9701</v>
      </c>
      <c r="Z66" s="20">
        <v>9701</v>
      </c>
      <c r="AA66" s="20">
        <f t="shared" si="30"/>
        <v>100</v>
      </c>
      <c r="AB66" s="20">
        <v>36860</v>
      </c>
      <c r="AC66" s="20">
        <v>36860</v>
      </c>
      <c r="AD66" s="20">
        <f t="shared" si="31"/>
        <v>100</v>
      </c>
      <c r="AE66" s="20">
        <f t="shared" si="32"/>
        <v>122115</v>
      </c>
      <c r="AF66" s="20">
        <f t="shared" si="33"/>
        <v>122115</v>
      </c>
      <c r="AG66" s="187">
        <f t="shared" si="34"/>
        <v>100</v>
      </c>
      <c r="AH66" s="59" t="s">
        <v>463</v>
      </c>
      <c r="AI66" s="19" t="s">
        <v>527</v>
      </c>
      <c r="AJ66" s="1">
        <v>17</v>
      </c>
      <c r="AK66" s="1">
        <v>34</v>
      </c>
      <c r="AL66" s="1">
        <f t="shared" si="40"/>
        <v>578</v>
      </c>
      <c r="AM66" s="26">
        <f t="shared" si="35"/>
        <v>0</v>
      </c>
      <c r="AN66" s="26">
        <f>IF(AL66&gt;0,AM66/AL66,"")</f>
        <v>0</v>
      </c>
      <c r="AO66" s="26">
        <v>366.24876237623766</v>
      </c>
      <c r="AP66" s="181" t="s">
        <v>52</v>
      </c>
      <c r="AQ66" s="159">
        <v>52568</v>
      </c>
      <c r="AR66" s="159">
        <v>36126</v>
      </c>
      <c r="AS66" s="151">
        <f t="shared" si="36"/>
        <v>68.722416679348655</v>
      </c>
      <c r="AU66" s="26">
        <f t="shared" ref="AU66:AU97" si="41">S66-AQ66</f>
        <v>-6007</v>
      </c>
      <c r="AV66" s="26">
        <f t="shared" ref="AV66:AV97" si="42">T66-AR66</f>
        <v>10435</v>
      </c>
      <c r="AW66" s="26">
        <f t="shared" ref="AW66:AW97" si="43">U66-AS66</f>
        <v>31.277583320651345</v>
      </c>
      <c r="AX66" s="1">
        <v>1</v>
      </c>
    </row>
    <row r="67" spans="1:50" s="1" customFormat="1" x14ac:dyDescent="0.25">
      <c r="A67" s="172" t="s">
        <v>280</v>
      </c>
      <c r="B67" s="8">
        <v>8135002</v>
      </c>
      <c r="C67" s="8">
        <v>0</v>
      </c>
      <c r="D67" s="10">
        <v>1</v>
      </c>
      <c r="E67" s="10">
        <v>1</v>
      </c>
      <c r="F67" s="10"/>
      <c r="G67" s="10">
        <f t="shared" si="24"/>
        <v>162293</v>
      </c>
      <c r="H67" s="19">
        <f t="shared" si="25"/>
        <v>162293</v>
      </c>
      <c r="I67" s="19">
        <v>0</v>
      </c>
      <c r="J67" s="19">
        <v>168387</v>
      </c>
      <c r="K67" s="29">
        <f t="shared" si="26"/>
        <v>-3.7549370582834749</v>
      </c>
      <c r="L67" s="19" t="s">
        <v>58</v>
      </c>
      <c r="M67" s="23"/>
      <c r="N67" s="23">
        <v>40982</v>
      </c>
      <c r="O67" s="179">
        <f t="shared" si="27"/>
        <v>100</v>
      </c>
      <c r="P67" s="19">
        <v>100</v>
      </c>
      <c r="Q67" s="19">
        <f t="shared" si="37"/>
        <v>0</v>
      </c>
      <c r="R67" s="19"/>
      <c r="S67" s="19">
        <f t="shared" si="38"/>
        <v>78505</v>
      </c>
      <c r="T67" s="19">
        <f t="shared" si="39"/>
        <v>78505</v>
      </c>
      <c r="U67" s="20">
        <f t="shared" si="28"/>
        <v>100</v>
      </c>
      <c r="V67" s="19">
        <v>83788</v>
      </c>
      <c r="W67" s="19">
        <v>83788</v>
      </c>
      <c r="X67" s="187">
        <f t="shared" si="29"/>
        <v>100</v>
      </c>
      <c r="Y67" s="19">
        <v>17767</v>
      </c>
      <c r="Z67" s="20">
        <v>17767</v>
      </c>
      <c r="AA67" s="20">
        <f t="shared" si="30"/>
        <v>100</v>
      </c>
      <c r="AB67" s="20">
        <v>60738</v>
      </c>
      <c r="AC67" s="20">
        <v>60738</v>
      </c>
      <c r="AD67" s="20">
        <f t="shared" si="31"/>
        <v>100</v>
      </c>
      <c r="AE67" s="20">
        <f t="shared" si="32"/>
        <v>144526</v>
      </c>
      <c r="AF67" s="20">
        <f t="shared" si="33"/>
        <v>144526</v>
      </c>
      <c r="AG67" s="187">
        <f t="shared" si="34"/>
        <v>100</v>
      </c>
      <c r="AH67" s="59" t="s">
        <v>361</v>
      </c>
      <c r="AI67" s="19" t="s">
        <v>52</v>
      </c>
      <c r="AL67" s="1" t="str">
        <f t="shared" si="40"/>
        <v/>
      </c>
      <c r="AM67" s="26">
        <f t="shared" si="35"/>
        <v>0</v>
      </c>
      <c r="AN67" s="26" t="e">
        <f>IF(AL67&gt;0,AM67/AL67,"")</f>
        <v>#VALUE!</v>
      </c>
      <c r="AO67" s="26">
        <v>11.752556237218814</v>
      </c>
      <c r="AP67" s="181" t="s">
        <v>52</v>
      </c>
      <c r="AQ67" s="159">
        <v>77992</v>
      </c>
      <c r="AR67" s="159">
        <v>77992</v>
      </c>
      <c r="AS67" s="151">
        <f t="shared" si="36"/>
        <v>100</v>
      </c>
      <c r="AU67" s="26">
        <f t="shared" si="41"/>
        <v>513</v>
      </c>
      <c r="AV67" s="26">
        <f t="shared" si="42"/>
        <v>513</v>
      </c>
      <c r="AW67" s="26">
        <f t="shared" si="43"/>
        <v>0</v>
      </c>
      <c r="AX67" s="1">
        <v>3</v>
      </c>
    </row>
    <row r="68" spans="1:50" s="1" customFormat="1" x14ac:dyDescent="0.25">
      <c r="A68" s="141" t="s">
        <v>131</v>
      </c>
      <c r="B68" s="8">
        <v>6139264</v>
      </c>
      <c r="C68" s="8">
        <v>0</v>
      </c>
      <c r="D68" s="10">
        <v>1</v>
      </c>
      <c r="E68" s="10">
        <v>1</v>
      </c>
      <c r="F68" s="10"/>
      <c r="G68" s="10">
        <f t="shared" ref="G68:G99" si="44">SUM(S68,V68)</f>
        <v>142505</v>
      </c>
      <c r="H68" s="19">
        <f t="shared" ref="H68:H99" si="45">SUM(T68,W68)</f>
        <v>142505</v>
      </c>
      <c r="I68" s="19">
        <v>4668</v>
      </c>
      <c r="J68" s="19">
        <v>135506</v>
      </c>
      <c r="K68" s="29">
        <f t="shared" ref="K68:K99" si="46">(H68-J68)/H68*100</f>
        <v>4.9114066173116733</v>
      </c>
      <c r="L68" s="19" t="s">
        <v>58</v>
      </c>
      <c r="M68" s="23"/>
      <c r="N68" s="23" t="s">
        <v>70</v>
      </c>
      <c r="O68" s="179">
        <f t="shared" ref="O68:O99" si="47">IFERROR(100*H68/G68,"")</f>
        <v>100</v>
      </c>
      <c r="P68" s="19">
        <v>100</v>
      </c>
      <c r="Q68" s="19">
        <f t="shared" si="37"/>
        <v>0</v>
      </c>
      <c r="R68" s="19"/>
      <c r="S68" s="19">
        <f t="shared" si="38"/>
        <v>60663</v>
      </c>
      <c r="T68" s="19">
        <f t="shared" si="39"/>
        <v>60663</v>
      </c>
      <c r="U68" s="20">
        <f t="shared" ref="U68:U99" si="48">IFERROR(T68/S68*100,"")</f>
        <v>100</v>
      </c>
      <c r="V68" s="19">
        <v>81842</v>
      </c>
      <c r="W68" s="19">
        <v>81842</v>
      </c>
      <c r="X68" s="187">
        <f t="shared" ref="X68:X99" si="49">IFERROR(W68/V68*100,"")</f>
        <v>100</v>
      </c>
      <c r="Y68" s="19">
        <v>0</v>
      </c>
      <c r="Z68" s="20">
        <v>0</v>
      </c>
      <c r="AA68" s="20" t="str">
        <f t="shared" ref="AA68:AA99" si="50">IFERROR(Z68/Y68*100,"")</f>
        <v/>
      </c>
      <c r="AB68" s="20">
        <v>60663</v>
      </c>
      <c r="AC68" s="20">
        <v>60663</v>
      </c>
      <c r="AD68" s="20">
        <f t="shared" ref="AD68:AD99" si="51">IFERROR(AC68/AB68*100,"")</f>
        <v>100</v>
      </c>
      <c r="AE68" s="20">
        <f t="shared" ref="AE68:AE99" si="52">AB68+V68</f>
        <v>142505</v>
      </c>
      <c r="AF68" s="20">
        <f t="shared" ref="AF68:AF99" si="53">AC68+W68</f>
        <v>142505</v>
      </c>
      <c r="AG68" s="187">
        <f t="shared" ref="AG68:AG99" si="54">IFERROR(AF68/AE68*100,"")</f>
        <v>100</v>
      </c>
      <c r="AH68" s="59" t="s">
        <v>367</v>
      </c>
      <c r="AI68" s="19" t="s">
        <v>464</v>
      </c>
      <c r="AJ68" s="1" t="s">
        <v>86</v>
      </c>
      <c r="AL68" s="1" t="str">
        <f t="shared" si="40"/>
        <v/>
      </c>
      <c r="AM68" s="26">
        <f t="shared" ref="AM68:AM99" si="55">G68-H68</f>
        <v>0</v>
      </c>
      <c r="AN68" s="26"/>
      <c r="AO68" s="26"/>
      <c r="AP68" s="181" t="s">
        <v>52</v>
      </c>
      <c r="AQ68" s="159">
        <v>60663</v>
      </c>
      <c r="AR68" s="159">
        <v>60663</v>
      </c>
      <c r="AS68" s="151">
        <f t="shared" ref="AS68:AS99" si="56">IFERROR(AR68/AQ68*100,"")</f>
        <v>100</v>
      </c>
      <c r="AU68" s="26">
        <f t="shared" si="41"/>
        <v>0</v>
      </c>
      <c r="AV68" s="26">
        <f t="shared" si="42"/>
        <v>0</v>
      </c>
      <c r="AW68" s="26">
        <f t="shared" si="43"/>
        <v>0</v>
      </c>
      <c r="AX68" s="1">
        <v>1</v>
      </c>
    </row>
    <row r="69" spans="1:50" s="1" customFormat="1" x14ac:dyDescent="0.25">
      <c r="A69" s="173" t="s">
        <v>278</v>
      </c>
      <c r="B69" s="8">
        <v>7221142</v>
      </c>
      <c r="C69" s="8">
        <v>0</v>
      </c>
      <c r="D69" s="10">
        <v>1</v>
      </c>
      <c r="E69" s="10">
        <v>1</v>
      </c>
      <c r="F69" s="10"/>
      <c r="G69" s="10">
        <f t="shared" si="44"/>
        <v>175441</v>
      </c>
      <c r="H69" s="19">
        <f t="shared" si="45"/>
        <v>175441</v>
      </c>
      <c r="I69" s="19">
        <v>0</v>
      </c>
      <c r="J69" s="19">
        <v>151320</v>
      </c>
      <c r="K69" s="29">
        <f t="shared" si="46"/>
        <v>13.74878164169151</v>
      </c>
      <c r="L69" s="19" t="s">
        <v>58</v>
      </c>
      <c r="M69" s="23">
        <v>42769.362361111111</v>
      </c>
      <c r="N69" s="23"/>
      <c r="O69" s="179">
        <f t="shared" si="47"/>
        <v>100</v>
      </c>
      <c r="P69" s="19">
        <v>100</v>
      </c>
      <c r="Q69" s="19">
        <f t="shared" ref="Q69:Q100" si="57">ROUND(O69-P69,0)</f>
        <v>0</v>
      </c>
      <c r="R69" s="19"/>
      <c r="S69" s="19">
        <f t="shared" si="38"/>
        <v>95370</v>
      </c>
      <c r="T69" s="19">
        <f t="shared" si="39"/>
        <v>95370</v>
      </c>
      <c r="U69" s="20">
        <f t="shared" si="48"/>
        <v>100</v>
      </c>
      <c r="V69" s="19">
        <v>80071</v>
      </c>
      <c r="W69" s="19">
        <v>80071</v>
      </c>
      <c r="X69" s="187">
        <f t="shared" si="49"/>
        <v>100</v>
      </c>
      <c r="Y69" s="19">
        <v>34100</v>
      </c>
      <c r="Z69" s="20">
        <v>34100</v>
      </c>
      <c r="AA69" s="20">
        <f t="shared" si="50"/>
        <v>100</v>
      </c>
      <c r="AB69" s="20">
        <v>61270</v>
      </c>
      <c r="AC69" s="20">
        <v>61270</v>
      </c>
      <c r="AD69" s="20">
        <f t="shared" si="51"/>
        <v>100</v>
      </c>
      <c r="AE69" s="20">
        <f t="shared" si="52"/>
        <v>141341</v>
      </c>
      <c r="AF69" s="20">
        <f t="shared" si="53"/>
        <v>141341</v>
      </c>
      <c r="AG69" s="187">
        <f t="shared" si="54"/>
        <v>100</v>
      </c>
      <c r="AH69" s="59" t="s">
        <v>533</v>
      </c>
      <c r="AI69" s="19" t="s">
        <v>52</v>
      </c>
      <c r="AL69" s="1" t="str">
        <f t="shared" si="40"/>
        <v/>
      </c>
      <c r="AM69" s="26">
        <f t="shared" si="55"/>
        <v>0</v>
      </c>
      <c r="AN69" s="26"/>
      <c r="AO69" s="26"/>
      <c r="AP69" s="181">
        <v>43465</v>
      </c>
      <c r="AQ69" s="159">
        <v>88185</v>
      </c>
      <c r="AR69" s="159">
        <v>88185</v>
      </c>
      <c r="AS69" s="151">
        <f t="shared" si="56"/>
        <v>100</v>
      </c>
      <c r="AU69" s="26">
        <f t="shared" si="41"/>
        <v>7185</v>
      </c>
      <c r="AV69" s="26">
        <f t="shared" si="42"/>
        <v>7185</v>
      </c>
      <c r="AW69" s="26">
        <f t="shared" si="43"/>
        <v>0</v>
      </c>
      <c r="AX69" s="1">
        <v>4</v>
      </c>
    </row>
    <row r="70" spans="1:50" s="1" customFormat="1" x14ac:dyDescent="0.25">
      <c r="A70" s="141" t="s">
        <v>172</v>
      </c>
      <c r="B70" s="8">
        <v>8327700</v>
      </c>
      <c r="C70" s="8">
        <v>0</v>
      </c>
      <c r="D70" s="10">
        <v>1</v>
      </c>
      <c r="E70" s="10">
        <v>1</v>
      </c>
      <c r="F70" s="10"/>
      <c r="G70" s="10">
        <f t="shared" si="44"/>
        <v>162369</v>
      </c>
      <c r="H70" s="19">
        <f t="shared" si="45"/>
        <v>162369</v>
      </c>
      <c r="I70" s="19">
        <v>5834</v>
      </c>
      <c r="J70" s="19">
        <v>144585</v>
      </c>
      <c r="K70" s="29">
        <f t="shared" si="46"/>
        <v>10.952829665761321</v>
      </c>
      <c r="L70" s="19" t="s">
        <v>58</v>
      </c>
      <c r="M70" s="23"/>
      <c r="N70" s="23" t="s">
        <v>78</v>
      </c>
      <c r="O70" s="179">
        <f t="shared" si="47"/>
        <v>100</v>
      </c>
      <c r="P70" s="19">
        <v>58.8</v>
      </c>
      <c r="Q70" s="19">
        <f t="shared" si="57"/>
        <v>41</v>
      </c>
      <c r="R70" s="19"/>
      <c r="S70" s="19">
        <f t="shared" si="38"/>
        <v>82595</v>
      </c>
      <c r="T70" s="19">
        <f t="shared" si="39"/>
        <v>82595</v>
      </c>
      <c r="U70" s="20">
        <f t="shared" si="48"/>
        <v>100</v>
      </c>
      <c r="V70" s="19">
        <v>79774</v>
      </c>
      <c r="W70" s="19">
        <v>79774</v>
      </c>
      <c r="X70" s="187">
        <f t="shared" si="49"/>
        <v>100</v>
      </c>
      <c r="Y70" s="19">
        <v>24030</v>
      </c>
      <c r="Z70" s="20">
        <v>24030</v>
      </c>
      <c r="AA70" s="20">
        <f t="shared" si="50"/>
        <v>100</v>
      </c>
      <c r="AB70" s="20">
        <v>58565</v>
      </c>
      <c r="AC70" s="20">
        <v>58565</v>
      </c>
      <c r="AD70" s="20">
        <f t="shared" si="51"/>
        <v>100</v>
      </c>
      <c r="AE70" s="20">
        <f t="shared" si="52"/>
        <v>138339</v>
      </c>
      <c r="AF70" s="20">
        <f t="shared" si="53"/>
        <v>138339</v>
      </c>
      <c r="AG70" s="187">
        <f t="shared" si="54"/>
        <v>100</v>
      </c>
      <c r="AH70" s="59" t="s">
        <v>454</v>
      </c>
      <c r="AI70" s="19" t="s">
        <v>238</v>
      </c>
      <c r="AJ70" s="1">
        <v>20</v>
      </c>
      <c r="AK70" s="1">
        <v>50</v>
      </c>
      <c r="AL70" s="1">
        <f t="shared" si="40"/>
        <v>1000</v>
      </c>
      <c r="AM70" s="26">
        <f t="shared" si="55"/>
        <v>0</v>
      </c>
      <c r="AN70" s="26">
        <f>IF(AL70&gt;0,AM70/AL70,"")</f>
        <v>0</v>
      </c>
      <c r="AO70" s="26">
        <v>25.699421965317921</v>
      </c>
      <c r="AP70" s="181" t="s">
        <v>52</v>
      </c>
      <c r="AQ70" s="159">
        <v>58565</v>
      </c>
      <c r="AR70" s="159">
        <v>58565</v>
      </c>
      <c r="AS70" s="151">
        <f t="shared" si="56"/>
        <v>100</v>
      </c>
      <c r="AU70" s="26">
        <f t="shared" si="41"/>
        <v>24030</v>
      </c>
      <c r="AV70" s="26">
        <f t="shared" si="42"/>
        <v>24030</v>
      </c>
      <c r="AW70" s="26">
        <f t="shared" si="43"/>
        <v>0</v>
      </c>
      <c r="AX70" s="1">
        <v>1</v>
      </c>
    </row>
    <row r="71" spans="1:50" s="1" customFormat="1" x14ac:dyDescent="0.25">
      <c r="A71" s="173" t="s">
        <v>271</v>
      </c>
      <c r="B71" s="8">
        <v>8027536</v>
      </c>
      <c r="C71" s="8">
        <v>0</v>
      </c>
      <c r="D71" s="10">
        <v>1</v>
      </c>
      <c r="E71" s="10">
        <v>1</v>
      </c>
      <c r="F71" s="10"/>
      <c r="G71" s="10">
        <f t="shared" si="44"/>
        <v>121871</v>
      </c>
      <c r="H71" s="19">
        <f t="shared" si="45"/>
        <v>121871</v>
      </c>
      <c r="I71" s="19">
        <v>0</v>
      </c>
      <c r="J71" s="19">
        <v>142910</v>
      </c>
      <c r="K71" s="29">
        <f t="shared" si="46"/>
        <v>-17.263335822303912</v>
      </c>
      <c r="L71" s="19" t="s">
        <v>58</v>
      </c>
      <c r="M71" s="23">
        <v>42776.341296296298</v>
      </c>
      <c r="N71" s="23"/>
      <c r="O71" s="179">
        <f t="shared" si="47"/>
        <v>100</v>
      </c>
      <c r="P71" s="19">
        <v>100</v>
      </c>
      <c r="Q71" s="19">
        <f t="shared" si="57"/>
        <v>0</v>
      </c>
      <c r="R71" s="19"/>
      <c r="S71" s="19">
        <f t="shared" si="38"/>
        <v>43400</v>
      </c>
      <c r="T71" s="19">
        <f t="shared" si="39"/>
        <v>43400</v>
      </c>
      <c r="U71" s="20">
        <f t="shared" si="48"/>
        <v>100</v>
      </c>
      <c r="V71" s="19">
        <v>78471</v>
      </c>
      <c r="W71" s="19">
        <v>78471</v>
      </c>
      <c r="X71" s="187">
        <f t="shared" si="49"/>
        <v>100</v>
      </c>
      <c r="Y71" s="19">
        <v>1700</v>
      </c>
      <c r="Z71" s="20">
        <v>1700</v>
      </c>
      <c r="AA71" s="20">
        <f t="shared" si="50"/>
        <v>100</v>
      </c>
      <c r="AB71" s="20">
        <v>41700</v>
      </c>
      <c r="AC71" s="20">
        <v>41700</v>
      </c>
      <c r="AD71" s="20">
        <f t="shared" si="51"/>
        <v>100</v>
      </c>
      <c r="AE71" s="20">
        <f t="shared" si="52"/>
        <v>120171</v>
      </c>
      <c r="AF71" s="20">
        <f t="shared" si="53"/>
        <v>120171</v>
      </c>
      <c r="AG71" s="187">
        <f t="shared" si="54"/>
        <v>100</v>
      </c>
      <c r="AH71" s="59" t="s">
        <v>352</v>
      </c>
      <c r="AI71" s="19" t="s">
        <v>436</v>
      </c>
      <c r="AL71" s="1" t="str">
        <f t="shared" si="40"/>
        <v/>
      </c>
      <c r="AM71" s="26">
        <f t="shared" si="55"/>
        <v>0</v>
      </c>
      <c r="AN71" s="26" t="e">
        <f>IF(AL71&gt;0,AM71/AL71,"")</f>
        <v>#VALUE!</v>
      </c>
      <c r="AO71" s="26"/>
      <c r="AP71" s="181" t="s">
        <v>52</v>
      </c>
      <c r="AQ71" s="159">
        <v>148653</v>
      </c>
      <c r="AR71" s="159">
        <v>148653</v>
      </c>
      <c r="AS71" s="151">
        <f t="shared" si="56"/>
        <v>100</v>
      </c>
      <c r="AU71" s="26">
        <f t="shared" si="41"/>
        <v>-105253</v>
      </c>
      <c r="AV71" s="26">
        <f t="shared" si="42"/>
        <v>-105253</v>
      </c>
      <c r="AW71" s="26">
        <f t="shared" si="43"/>
        <v>0</v>
      </c>
      <c r="AX71" s="1">
        <v>4</v>
      </c>
    </row>
    <row r="72" spans="1:50" s="1" customFormat="1" x14ac:dyDescent="0.25">
      <c r="A72" s="173" t="s">
        <v>284</v>
      </c>
      <c r="B72" s="8">
        <v>7172788</v>
      </c>
      <c r="C72" s="8">
        <v>0</v>
      </c>
      <c r="D72" s="10">
        <v>1</v>
      </c>
      <c r="E72" s="10">
        <v>1</v>
      </c>
      <c r="F72" s="10"/>
      <c r="G72" s="10">
        <f t="shared" si="44"/>
        <v>138647</v>
      </c>
      <c r="H72" s="19">
        <f t="shared" si="45"/>
        <v>138647</v>
      </c>
      <c r="I72" s="19">
        <v>0</v>
      </c>
      <c r="J72" s="19">
        <v>138776</v>
      </c>
      <c r="K72" s="29">
        <f t="shared" si="46"/>
        <v>-9.3042042020382701E-2</v>
      </c>
      <c r="L72" s="19" t="s">
        <v>58</v>
      </c>
      <c r="M72" s="23">
        <v>42775.566388888888</v>
      </c>
      <c r="N72" s="23"/>
      <c r="O72" s="179">
        <f t="shared" si="47"/>
        <v>100</v>
      </c>
      <c r="P72" s="19">
        <v>100</v>
      </c>
      <c r="Q72" s="19">
        <f t="shared" si="57"/>
        <v>0</v>
      </c>
      <c r="R72" s="19"/>
      <c r="S72" s="19">
        <f t="shared" si="38"/>
        <v>64883</v>
      </c>
      <c r="T72" s="19">
        <f t="shared" si="39"/>
        <v>64883</v>
      </c>
      <c r="U72" s="20">
        <f t="shared" si="48"/>
        <v>100</v>
      </c>
      <c r="V72" s="19">
        <v>73764</v>
      </c>
      <c r="W72" s="19">
        <v>73764</v>
      </c>
      <c r="X72" s="187">
        <f t="shared" si="49"/>
        <v>100</v>
      </c>
      <c r="Y72" s="19">
        <v>4462</v>
      </c>
      <c r="Z72" s="20">
        <v>4462</v>
      </c>
      <c r="AA72" s="20">
        <f t="shared" si="50"/>
        <v>100</v>
      </c>
      <c r="AB72" s="20">
        <v>60421</v>
      </c>
      <c r="AC72" s="20">
        <v>60421</v>
      </c>
      <c r="AD72" s="20">
        <f t="shared" si="51"/>
        <v>100</v>
      </c>
      <c r="AE72" s="20">
        <f t="shared" si="52"/>
        <v>134185</v>
      </c>
      <c r="AF72" s="20">
        <f t="shared" si="53"/>
        <v>134185</v>
      </c>
      <c r="AG72" s="187">
        <f t="shared" si="54"/>
        <v>100</v>
      </c>
      <c r="AH72" s="59" t="s">
        <v>51</v>
      </c>
      <c r="AI72" s="19" t="s">
        <v>444</v>
      </c>
      <c r="AL72" s="1" t="str">
        <f t="shared" si="40"/>
        <v/>
      </c>
      <c r="AM72" s="26">
        <f t="shared" si="55"/>
        <v>0</v>
      </c>
      <c r="AN72" s="26"/>
      <c r="AO72" s="26"/>
      <c r="AP72" s="181" t="s">
        <v>52</v>
      </c>
      <c r="AQ72" s="159">
        <v>66232</v>
      </c>
      <c r="AR72" s="159">
        <v>66232</v>
      </c>
      <c r="AS72" s="151">
        <f t="shared" si="56"/>
        <v>100</v>
      </c>
      <c r="AU72" s="26">
        <f t="shared" si="41"/>
        <v>-1349</v>
      </c>
      <c r="AV72" s="26">
        <f t="shared" si="42"/>
        <v>-1349</v>
      </c>
      <c r="AW72" s="26">
        <f t="shared" si="43"/>
        <v>0</v>
      </c>
      <c r="AX72" s="1">
        <v>4</v>
      </c>
    </row>
    <row r="73" spans="1:50" s="1" customFormat="1" x14ac:dyDescent="0.25">
      <c r="A73" s="173" t="s">
        <v>112</v>
      </c>
      <c r="B73" s="8">
        <v>8350957</v>
      </c>
      <c r="C73" s="8">
        <v>0</v>
      </c>
      <c r="D73" s="10">
        <v>1</v>
      </c>
      <c r="E73" s="10">
        <v>1</v>
      </c>
      <c r="F73" s="10"/>
      <c r="G73" s="10">
        <f t="shared" si="44"/>
        <v>125688</v>
      </c>
      <c r="H73" s="19">
        <f t="shared" si="45"/>
        <v>125688</v>
      </c>
      <c r="I73" s="19">
        <v>259</v>
      </c>
      <c r="J73" s="19">
        <v>135030</v>
      </c>
      <c r="K73" s="29">
        <f t="shared" si="46"/>
        <v>-7.4326904716440714</v>
      </c>
      <c r="L73" s="19" t="s">
        <v>58</v>
      </c>
      <c r="M73" s="23">
        <v>42745.36546296296</v>
      </c>
      <c r="N73" s="23"/>
      <c r="O73" s="179">
        <f t="shared" si="47"/>
        <v>100</v>
      </c>
      <c r="P73" s="19">
        <v>100</v>
      </c>
      <c r="Q73" s="19">
        <f t="shared" si="57"/>
        <v>0</v>
      </c>
      <c r="R73" s="19"/>
      <c r="S73" s="19">
        <f t="shared" si="38"/>
        <v>53094</v>
      </c>
      <c r="T73" s="19">
        <f t="shared" si="39"/>
        <v>53094</v>
      </c>
      <c r="U73" s="20">
        <f t="shared" si="48"/>
        <v>100</v>
      </c>
      <c r="V73" s="19">
        <v>72594</v>
      </c>
      <c r="W73" s="19">
        <v>72594</v>
      </c>
      <c r="X73" s="187">
        <f t="shared" si="49"/>
        <v>100</v>
      </c>
      <c r="Y73" s="19">
        <v>17711</v>
      </c>
      <c r="Z73" s="20">
        <v>17711</v>
      </c>
      <c r="AA73" s="20">
        <f t="shared" si="50"/>
        <v>100</v>
      </c>
      <c r="AB73" s="20">
        <v>35383</v>
      </c>
      <c r="AC73" s="20">
        <v>35383</v>
      </c>
      <c r="AD73" s="20">
        <f t="shared" si="51"/>
        <v>100</v>
      </c>
      <c r="AE73" s="20">
        <f t="shared" si="52"/>
        <v>107977</v>
      </c>
      <c r="AF73" s="20">
        <f t="shared" si="53"/>
        <v>107977</v>
      </c>
      <c r="AG73" s="187">
        <f t="shared" si="54"/>
        <v>100</v>
      </c>
      <c r="AH73" s="59" t="s">
        <v>370</v>
      </c>
      <c r="AI73" s="19" t="s">
        <v>52</v>
      </c>
      <c r="AJ73" s="1" t="s">
        <v>86</v>
      </c>
      <c r="AL73" s="1" t="str">
        <f t="shared" si="40"/>
        <v/>
      </c>
      <c r="AM73" s="26">
        <f t="shared" si="55"/>
        <v>0</v>
      </c>
      <c r="AN73" s="26"/>
      <c r="AO73" s="26"/>
      <c r="AP73" s="181" t="s">
        <v>52</v>
      </c>
      <c r="AQ73" s="159">
        <v>61725</v>
      </c>
      <c r="AR73" s="159">
        <v>61725</v>
      </c>
      <c r="AS73" s="151">
        <f t="shared" si="56"/>
        <v>100</v>
      </c>
      <c r="AU73" s="26">
        <f t="shared" si="41"/>
        <v>-8631</v>
      </c>
      <c r="AV73" s="26">
        <f t="shared" si="42"/>
        <v>-8631</v>
      </c>
      <c r="AW73" s="26">
        <f t="shared" si="43"/>
        <v>0</v>
      </c>
      <c r="AX73" s="1">
        <v>4</v>
      </c>
    </row>
    <row r="74" spans="1:50" s="1" customFormat="1" x14ac:dyDescent="0.25">
      <c r="A74" s="141" t="s">
        <v>205</v>
      </c>
      <c r="B74" s="8">
        <v>7188927</v>
      </c>
      <c r="C74" s="8">
        <v>0</v>
      </c>
      <c r="D74" s="10">
        <v>1</v>
      </c>
      <c r="E74" s="10">
        <v>1</v>
      </c>
      <c r="F74" s="10"/>
      <c r="G74" s="10">
        <f t="shared" si="44"/>
        <v>146022</v>
      </c>
      <c r="H74" s="19">
        <f t="shared" si="45"/>
        <v>146022</v>
      </c>
      <c r="I74" s="19">
        <v>2176</v>
      </c>
      <c r="J74" s="19">
        <v>146906</v>
      </c>
      <c r="K74" s="29">
        <f t="shared" si="46"/>
        <v>-0.60538822917094681</v>
      </c>
      <c r="L74" s="19" t="s">
        <v>58</v>
      </c>
      <c r="M74" s="23"/>
      <c r="N74" s="23"/>
      <c r="O74" s="179">
        <f t="shared" si="47"/>
        <v>100</v>
      </c>
      <c r="P74" s="19">
        <v>91.92</v>
      </c>
      <c r="Q74" s="19">
        <f t="shared" si="57"/>
        <v>8</v>
      </c>
      <c r="R74" s="19"/>
      <c r="S74" s="19">
        <f t="shared" si="38"/>
        <v>75018</v>
      </c>
      <c r="T74" s="19">
        <f t="shared" si="39"/>
        <v>75018</v>
      </c>
      <c r="U74" s="20">
        <f t="shared" si="48"/>
        <v>100</v>
      </c>
      <c r="V74" s="19">
        <v>71004</v>
      </c>
      <c r="W74" s="19">
        <v>71004</v>
      </c>
      <c r="X74" s="187">
        <f t="shared" si="49"/>
        <v>100</v>
      </c>
      <c r="Y74" s="19">
        <v>8648</v>
      </c>
      <c r="Z74" s="20">
        <v>8648</v>
      </c>
      <c r="AA74" s="20">
        <f t="shared" si="50"/>
        <v>100</v>
      </c>
      <c r="AB74" s="20">
        <v>66370</v>
      </c>
      <c r="AC74" s="20">
        <v>66370</v>
      </c>
      <c r="AD74" s="20">
        <f t="shared" si="51"/>
        <v>100</v>
      </c>
      <c r="AE74" s="20">
        <f t="shared" si="52"/>
        <v>137374</v>
      </c>
      <c r="AF74" s="20">
        <f t="shared" si="53"/>
        <v>137374</v>
      </c>
      <c r="AG74" s="187">
        <f t="shared" si="54"/>
        <v>100</v>
      </c>
      <c r="AH74" s="59" t="s">
        <v>366</v>
      </c>
      <c r="AI74" s="19" t="s">
        <v>52</v>
      </c>
      <c r="AJ74" s="1">
        <v>6</v>
      </c>
      <c r="AK74" s="1">
        <v>100</v>
      </c>
      <c r="AL74" s="1">
        <f t="shared" si="40"/>
        <v>600</v>
      </c>
      <c r="AM74" s="26">
        <f t="shared" si="55"/>
        <v>0</v>
      </c>
      <c r="AN74" s="26">
        <f>IF(AL74&gt;0,AM74/AL74,"")</f>
        <v>0</v>
      </c>
      <c r="AO74" s="26">
        <v>8.7384341637010667</v>
      </c>
      <c r="AP74" s="181" t="s">
        <v>52</v>
      </c>
      <c r="AQ74" s="159">
        <v>75018</v>
      </c>
      <c r="AR74" s="159">
        <v>75018</v>
      </c>
      <c r="AS74" s="151">
        <f t="shared" si="56"/>
        <v>100</v>
      </c>
      <c r="AU74" s="26">
        <f t="shared" si="41"/>
        <v>0</v>
      </c>
      <c r="AV74" s="26">
        <f t="shared" si="42"/>
        <v>0</v>
      </c>
      <c r="AW74" s="26">
        <f t="shared" si="43"/>
        <v>0</v>
      </c>
      <c r="AX74" s="1">
        <v>1</v>
      </c>
    </row>
    <row r="75" spans="1:50" s="1" customFormat="1" x14ac:dyDescent="0.25">
      <c r="A75" s="141" t="s">
        <v>285</v>
      </c>
      <c r="B75" s="8">
        <v>7213182</v>
      </c>
      <c r="C75" s="8">
        <v>0</v>
      </c>
      <c r="D75" s="10">
        <v>1</v>
      </c>
      <c r="E75" s="10">
        <v>1</v>
      </c>
      <c r="F75" s="10"/>
      <c r="G75" s="10">
        <f t="shared" si="44"/>
        <v>134834</v>
      </c>
      <c r="H75" s="19">
        <f t="shared" si="45"/>
        <v>134834</v>
      </c>
      <c r="I75" s="19">
        <v>0</v>
      </c>
      <c r="J75" s="19">
        <v>135999</v>
      </c>
      <c r="K75" s="29">
        <f t="shared" si="46"/>
        <v>-0.8640253941884094</v>
      </c>
      <c r="L75" s="19" t="s">
        <v>58</v>
      </c>
      <c r="M75" s="23"/>
      <c r="N75" s="23">
        <v>41001</v>
      </c>
      <c r="O75" s="179">
        <f t="shared" si="47"/>
        <v>100</v>
      </c>
      <c r="P75" s="19">
        <v>100</v>
      </c>
      <c r="Q75" s="19">
        <f t="shared" si="57"/>
        <v>0</v>
      </c>
      <c r="R75" s="19"/>
      <c r="S75" s="19">
        <f t="shared" si="38"/>
        <v>64262</v>
      </c>
      <c r="T75" s="19">
        <f t="shared" si="39"/>
        <v>64262</v>
      </c>
      <c r="U75" s="20">
        <f t="shared" si="48"/>
        <v>100</v>
      </c>
      <c r="V75" s="19">
        <v>70572</v>
      </c>
      <c r="W75" s="19">
        <v>70572</v>
      </c>
      <c r="X75" s="187">
        <f t="shared" si="49"/>
        <v>100</v>
      </c>
      <c r="Y75" s="19">
        <v>8259</v>
      </c>
      <c r="Z75" s="20">
        <v>8259</v>
      </c>
      <c r="AA75" s="20">
        <f t="shared" si="50"/>
        <v>100</v>
      </c>
      <c r="AB75" s="20">
        <v>56003</v>
      </c>
      <c r="AC75" s="20">
        <v>56003</v>
      </c>
      <c r="AD75" s="20">
        <f t="shared" si="51"/>
        <v>100</v>
      </c>
      <c r="AE75" s="20">
        <f t="shared" si="52"/>
        <v>126575</v>
      </c>
      <c r="AF75" s="20">
        <f t="shared" si="53"/>
        <v>126575</v>
      </c>
      <c r="AG75" s="187">
        <f t="shared" si="54"/>
        <v>100</v>
      </c>
      <c r="AH75" s="59" t="s">
        <v>371</v>
      </c>
      <c r="AI75" s="19" t="s">
        <v>52</v>
      </c>
      <c r="AL75" s="1" t="str">
        <f t="shared" si="40"/>
        <v/>
      </c>
      <c r="AM75" s="26">
        <f t="shared" si="55"/>
        <v>0</v>
      </c>
      <c r="AN75" s="26"/>
      <c r="AO75" s="26">
        <v>51.524999999999999</v>
      </c>
      <c r="AP75" s="181" t="s">
        <v>52</v>
      </c>
      <c r="AQ75" s="159">
        <v>62563</v>
      </c>
      <c r="AR75" s="159">
        <v>62563</v>
      </c>
      <c r="AS75" s="151">
        <f t="shared" si="56"/>
        <v>100</v>
      </c>
      <c r="AU75" s="26">
        <f t="shared" si="41"/>
        <v>1699</v>
      </c>
      <c r="AV75" s="26">
        <f t="shared" si="42"/>
        <v>1699</v>
      </c>
      <c r="AW75" s="26">
        <f t="shared" si="43"/>
        <v>0</v>
      </c>
      <c r="AX75" s="1">
        <v>2</v>
      </c>
    </row>
    <row r="76" spans="1:50" s="1" customFormat="1" x14ac:dyDescent="0.25">
      <c r="A76" s="173" t="s">
        <v>122</v>
      </c>
      <c r="B76" s="8">
        <v>7170718</v>
      </c>
      <c r="C76" s="8">
        <v>0</v>
      </c>
      <c r="D76" s="10">
        <v>1</v>
      </c>
      <c r="E76" s="10">
        <v>1</v>
      </c>
      <c r="F76" s="10"/>
      <c r="G76" s="10">
        <f t="shared" si="44"/>
        <v>142913</v>
      </c>
      <c r="H76" s="19">
        <f t="shared" si="45"/>
        <v>142913</v>
      </c>
      <c r="I76" s="19">
        <v>1467</v>
      </c>
      <c r="J76" s="19">
        <v>143166</v>
      </c>
      <c r="K76" s="29">
        <f t="shared" si="46"/>
        <v>-0.17703078096464284</v>
      </c>
      <c r="L76" s="19" t="s">
        <v>58</v>
      </c>
      <c r="M76" s="23">
        <v>42774.303124999999</v>
      </c>
      <c r="N76" s="23"/>
      <c r="O76" s="179">
        <f t="shared" si="47"/>
        <v>100</v>
      </c>
      <c r="P76" s="19">
        <v>95.07</v>
      </c>
      <c r="Q76" s="19">
        <f t="shared" si="57"/>
        <v>5</v>
      </c>
      <c r="R76" s="19"/>
      <c r="S76" s="19">
        <f t="shared" si="38"/>
        <v>73174</v>
      </c>
      <c r="T76" s="19">
        <f t="shared" si="39"/>
        <v>73174</v>
      </c>
      <c r="U76" s="20">
        <f t="shared" si="48"/>
        <v>100</v>
      </c>
      <c r="V76" s="19">
        <v>69739</v>
      </c>
      <c r="W76" s="19">
        <v>69739</v>
      </c>
      <c r="X76" s="187">
        <f t="shared" si="49"/>
        <v>100</v>
      </c>
      <c r="Y76" s="19">
        <v>10304</v>
      </c>
      <c r="Z76" s="20">
        <v>10304</v>
      </c>
      <c r="AA76" s="20">
        <f t="shared" si="50"/>
        <v>100</v>
      </c>
      <c r="AB76" s="20">
        <v>62870</v>
      </c>
      <c r="AC76" s="20">
        <v>62870</v>
      </c>
      <c r="AD76" s="20">
        <f t="shared" si="51"/>
        <v>100</v>
      </c>
      <c r="AE76" s="20">
        <f t="shared" si="52"/>
        <v>132609</v>
      </c>
      <c r="AF76" s="20">
        <f t="shared" si="53"/>
        <v>132609</v>
      </c>
      <c r="AG76" s="187">
        <f t="shared" si="54"/>
        <v>100</v>
      </c>
      <c r="AH76" s="59" t="s">
        <v>365</v>
      </c>
      <c r="AI76" s="19" t="s">
        <v>52</v>
      </c>
      <c r="AJ76" s="1">
        <v>4</v>
      </c>
      <c r="AK76" s="1">
        <v>50</v>
      </c>
      <c r="AL76" s="1">
        <f t="shared" si="40"/>
        <v>200</v>
      </c>
      <c r="AM76" s="26">
        <f t="shared" si="55"/>
        <v>0</v>
      </c>
      <c r="AN76" s="26"/>
      <c r="AO76" s="26"/>
      <c r="AP76" s="181" t="s">
        <v>52</v>
      </c>
      <c r="AQ76" s="159">
        <v>76185</v>
      </c>
      <c r="AR76" s="159">
        <v>76185</v>
      </c>
      <c r="AS76" s="151">
        <f t="shared" si="56"/>
        <v>100</v>
      </c>
      <c r="AU76" s="26">
        <f t="shared" si="41"/>
        <v>-3011</v>
      </c>
      <c r="AV76" s="26">
        <f t="shared" si="42"/>
        <v>-3011</v>
      </c>
      <c r="AW76" s="26">
        <f t="shared" si="43"/>
        <v>0</v>
      </c>
      <c r="AX76" s="1">
        <v>4</v>
      </c>
    </row>
    <row r="77" spans="1:50" s="1" customFormat="1" x14ac:dyDescent="0.25">
      <c r="A77" s="141" t="s">
        <v>138</v>
      </c>
      <c r="B77" s="8">
        <v>70491</v>
      </c>
      <c r="C77" s="8">
        <v>0</v>
      </c>
      <c r="D77" s="10">
        <v>1</v>
      </c>
      <c r="E77" s="10">
        <v>1</v>
      </c>
      <c r="F77" s="10"/>
      <c r="G77" s="10">
        <f t="shared" si="44"/>
        <v>129255</v>
      </c>
      <c r="H77" s="19">
        <f t="shared" si="45"/>
        <v>129255</v>
      </c>
      <c r="I77" s="19">
        <v>793</v>
      </c>
      <c r="J77" s="19">
        <v>116321</v>
      </c>
      <c r="K77" s="29">
        <f t="shared" si="46"/>
        <v>10.006576147924646</v>
      </c>
      <c r="L77" s="19" t="s">
        <v>58</v>
      </c>
      <c r="M77" s="23"/>
      <c r="N77" s="23"/>
      <c r="O77" s="179">
        <f t="shared" si="47"/>
        <v>100</v>
      </c>
      <c r="P77" s="19">
        <v>88.92</v>
      </c>
      <c r="Q77" s="19">
        <f t="shared" si="57"/>
        <v>11</v>
      </c>
      <c r="R77" s="19"/>
      <c r="S77" s="19">
        <f t="shared" si="38"/>
        <v>61005</v>
      </c>
      <c r="T77" s="19">
        <f t="shared" si="39"/>
        <v>61005</v>
      </c>
      <c r="U77" s="20">
        <f t="shared" si="48"/>
        <v>100</v>
      </c>
      <c r="V77" s="19">
        <v>68250</v>
      </c>
      <c r="W77" s="19">
        <v>68250</v>
      </c>
      <c r="X77" s="187">
        <f t="shared" si="49"/>
        <v>100</v>
      </c>
      <c r="Y77" s="19">
        <v>14257</v>
      </c>
      <c r="Z77" s="20">
        <v>14257</v>
      </c>
      <c r="AA77" s="20">
        <f t="shared" si="50"/>
        <v>100</v>
      </c>
      <c r="AB77" s="20">
        <v>46748</v>
      </c>
      <c r="AC77" s="20">
        <v>46748</v>
      </c>
      <c r="AD77" s="20">
        <f t="shared" si="51"/>
        <v>100</v>
      </c>
      <c r="AE77" s="20">
        <f t="shared" si="52"/>
        <v>114998</v>
      </c>
      <c r="AF77" s="20">
        <f t="shared" si="53"/>
        <v>114998</v>
      </c>
      <c r="AG77" s="187">
        <f t="shared" si="54"/>
        <v>100</v>
      </c>
      <c r="AH77" s="59" t="s">
        <v>474</v>
      </c>
      <c r="AI77" s="19" t="s">
        <v>52</v>
      </c>
      <c r="AJ77" s="1">
        <v>8</v>
      </c>
      <c r="AK77" s="1">
        <v>50</v>
      </c>
      <c r="AL77" s="1">
        <f t="shared" si="40"/>
        <v>400</v>
      </c>
      <c r="AM77" s="26">
        <f t="shared" si="55"/>
        <v>0</v>
      </c>
      <c r="AN77" s="26"/>
      <c r="AO77" s="26"/>
      <c r="AP77" s="181" t="s">
        <v>52</v>
      </c>
      <c r="AQ77" s="159">
        <v>46748</v>
      </c>
      <c r="AR77" s="159">
        <v>46748</v>
      </c>
      <c r="AS77" s="151">
        <f t="shared" si="56"/>
        <v>100</v>
      </c>
      <c r="AU77" s="26">
        <f t="shared" si="41"/>
        <v>14257</v>
      </c>
      <c r="AV77" s="26">
        <f t="shared" si="42"/>
        <v>14257</v>
      </c>
      <c r="AW77" s="26">
        <f t="shared" si="43"/>
        <v>0</v>
      </c>
      <c r="AX77" s="1">
        <v>1</v>
      </c>
    </row>
    <row r="78" spans="1:50" s="1" customFormat="1" x14ac:dyDescent="0.25">
      <c r="A78" s="173" t="s">
        <v>134</v>
      </c>
      <c r="B78" s="8">
        <v>7179588</v>
      </c>
      <c r="C78" s="8">
        <v>0</v>
      </c>
      <c r="D78" s="10">
        <v>1</v>
      </c>
      <c r="E78" s="10">
        <v>1</v>
      </c>
      <c r="F78" s="10"/>
      <c r="G78" s="10">
        <f t="shared" si="44"/>
        <v>88046</v>
      </c>
      <c r="H78" s="19">
        <f t="shared" si="45"/>
        <v>88046</v>
      </c>
      <c r="I78" s="19">
        <v>1301</v>
      </c>
      <c r="J78" s="19">
        <v>87649</v>
      </c>
      <c r="K78" s="29">
        <f t="shared" si="46"/>
        <v>0.45090066556118397</v>
      </c>
      <c r="L78" s="19" t="s">
        <v>58</v>
      </c>
      <c r="M78" s="23">
        <v>42773.450150462966</v>
      </c>
      <c r="N78" s="23"/>
      <c r="O78" s="179">
        <f t="shared" si="47"/>
        <v>100</v>
      </c>
      <c r="P78" s="19">
        <v>48</v>
      </c>
      <c r="Q78" s="19">
        <f t="shared" si="57"/>
        <v>52</v>
      </c>
      <c r="R78" s="19"/>
      <c r="S78" s="19">
        <f t="shared" ref="S78:S109" si="58">Y78+AB78</f>
        <v>20841</v>
      </c>
      <c r="T78" s="19">
        <f t="shared" ref="T78:T109" si="59">Z78+AC78</f>
        <v>20841</v>
      </c>
      <c r="U78" s="20">
        <f t="shared" si="48"/>
        <v>100</v>
      </c>
      <c r="V78" s="19">
        <v>67205</v>
      </c>
      <c r="W78" s="19">
        <v>67205</v>
      </c>
      <c r="X78" s="187">
        <f t="shared" si="49"/>
        <v>100</v>
      </c>
      <c r="Y78" s="19">
        <v>0</v>
      </c>
      <c r="Z78" s="20">
        <v>0</v>
      </c>
      <c r="AA78" s="20" t="str">
        <f t="shared" si="50"/>
        <v/>
      </c>
      <c r="AB78" s="20">
        <v>20841</v>
      </c>
      <c r="AC78" s="20">
        <v>20841</v>
      </c>
      <c r="AD78" s="20">
        <f t="shared" si="51"/>
        <v>100</v>
      </c>
      <c r="AE78" s="20">
        <f t="shared" si="52"/>
        <v>88046</v>
      </c>
      <c r="AF78" s="20">
        <f t="shared" si="53"/>
        <v>88046</v>
      </c>
      <c r="AG78" s="187">
        <f t="shared" si="54"/>
        <v>100</v>
      </c>
      <c r="AH78" s="59" t="s">
        <v>367</v>
      </c>
      <c r="AI78" s="19" t="s">
        <v>52</v>
      </c>
      <c r="AJ78" s="1">
        <v>15</v>
      </c>
      <c r="AK78" s="1">
        <v>35</v>
      </c>
      <c r="AL78" s="1">
        <f t="shared" si="40"/>
        <v>525</v>
      </c>
      <c r="AM78" s="26">
        <f t="shared" si="55"/>
        <v>0</v>
      </c>
      <c r="AN78" s="26">
        <f>IF(AL78&gt;0,AM78/AL78,"")</f>
        <v>0</v>
      </c>
      <c r="AO78" s="26">
        <v>67.782918149466184</v>
      </c>
      <c r="AP78" s="181" t="s">
        <v>484</v>
      </c>
      <c r="AQ78" s="159">
        <v>20841</v>
      </c>
      <c r="AR78" s="159">
        <v>20841</v>
      </c>
      <c r="AS78" s="151">
        <f t="shared" si="56"/>
        <v>100</v>
      </c>
      <c r="AU78" s="26">
        <f t="shared" si="41"/>
        <v>0</v>
      </c>
      <c r="AV78" s="26">
        <f t="shared" si="42"/>
        <v>0</v>
      </c>
      <c r="AW78" s="26">
        <f t="shared" si="43"/>
        <v>0</v>
      </c>
      <c r="AX78" s="1">
        <v>4</v>
      </c>
    </row>
    <row r="79" spans="1:50" s="1" customFormat="1" x14ac:dyDescent="0.25">
      <c r="A79" s="141" t="s">
        <v>162</v>
      </c>
      <c r="B79" s="8">
        <v>7170513</v>
      </c>
      <c r="C79" s="8">
        <v>0</v>
      </c>
      <c r="D79" s="10">
        <v>1</v>
      </c>
      <c r="E79" s="10">
        <v>1</v>
      </c>
      <c r="F79" s="10"/>
      <c r="G79" s="10">
        <f t="shared" si="44"/>
        <v>106385</v>
      </c>
      <c r="H79" s="19">
        <f t="shared" si="45"/>
        <v>106385</v>
      </c>
      <c r="I79" s="19">
        <v>1037</v>
      </c>
      <c r="J79" s="19">
        <v>79148</v>
      </c>
      <c r="K79" s="29">
        <f t="shared" si="46"/>
        <v>25.602293556422428</v>
      </c>
      <c r="L79" s="19" t="s">
        <v>58</v>
      </c>
      <c r="M79" s="23"/>
      <c r="N79" s="23">
        <v>42746</v>
      </c>
      <c r="O79" s="179">
        <f t="shared" si="47"/>
        <v>100</v>
      </c>
      <c r="P79" s="19">
        <v>50.1</v>
      </c>
      <c r="Q79" s="19">
        <f t="shared" si="57"/>
        <v>50</v>
      </c>
      <c r="R79" s="19"/>
      <c r="S79" s="19">
        <f t="shared" si="58"/>
        <v>41059</v>
      </c>
      <c r="T79" s="19">
        <f t="shared" si="59"/>
        <v>41059</v>
      </c>
      <c r="U79" s="20">
        <f t="shared" si="48"/>
        <v>100</v>
      </c>
      <c r="V79" s="19">
        <v>65326</v>
      </c>
      <c r="W79" s="19">
        <v>65326</v>
      </c>
      <c r="X79" s="187">
        <f t="shared" si="49"/>
        <v>100</v>
      </c>
      <c r="Y79" s="20">
        <v>3763</v>
      </c>
      <c r="Z79" s="20">
        <v>3763</v>
      </c>
      <c r="AA79" s="20">
        <f t="shared" si="50"/>
        <v>100</v>
      </c>
      <c r="AB79" s="20">
        <v>37296</v>
      </c>
      <c r="AC79" s="20">
        <v>37296</v>
      </c>
      <c r="AD79" s="20">
        <f t="shared" si="51"/>
        <v>100</v>
      </c>
      <c r="AE79" s="20">
        <f t="shared" si="52"/>
        <v>102622</v>
      </c>
      <c r="AF79" s="20">
        <f t="shared" si="53"/>
        <v>102622</v>
      </c>
      <c r="AG79" s="187">
        <f t="shared" si="54"/>
        <v>100</v>
      </c>
      <c r="AH79" s="59" t="s">
        <v>494</v>
      </c>
      <c r="AI79" s="19" t="s">
        <v>474</v>
      </c>
      <c r="AJ79" s="1">
        <v>7</v>
      </c>
      <c r="AK79" s="1">
        <v>44</v>
      </c>
      <c r="AL79" s="1">
        <f t="shared" si="40"/>
        <v>308</v>
      </c>
      <c r="AM79" s="26">
        <f t="shared" si="55"/>
        <v>0</v>
      </c>
      <c r="AN79" s="26">
        <f>IF(AL79&gt;0,AM79/AL79,"")</f>
        <v>0</v>
      </c>
      <c r="AO79" s="26">
        <v>165.83256880733944</v>
      </c>
      <c r="AP79" s="181">
        <v>43136</v>
      </c>
      <c r="AQ79" s="159">
        <v>41188</v>
      </c>
      <c r="AR79" s="159">
        <v>22132</v>
      </c>
      <c r="AS79" s="151">
        <f t="shared" si="56"/>
        <v>53.734097309896086</v>
      </c>
      <c r="AU79" s="26">
        <f t="shared" si="41"/>
        <v>-129</v>
      </c>
      <c r="AV79" s="26">
        <f t="shared" si="42"/>
        <v>18927</v>
      </c>
      <c r="AW79" s="26">
        <f t="shared" si="43"/>
        <v>46.265902690103914</v>
      </c>
      <c r="AX79" s="1">
        <v>2</v>
      </c>
    </row>
    <row r="80" spans="1:50" s="1" customFormat="1" x14ac:dyDescent="0.25">
      <c r="A80" s="173" t="s">
        <v>144</v>
      </c>
      <c r="B80" s="8">
        <v>81544295</v>
      </c>
      <c r="C80" s="8">
        <v>0</v>
      </c>
      <c r="D80" s="10">
        <v>1</v>
      </c>
      <c r="E80" s="10">
        <v>1</v>
      </c>
      <c r="F80" s="10"/>
      <c r="G80" s="10">
        <f t="shared" si="44"/>
        <v>160601</v>
      </c>
      <c r="H80" s="19">
        <f t="shared" si="45"/>
        <v>160601</v>
      </c>
      <c r="I80" s="19">
        <v>2216</v>
      </c>
      <c r="J80" s="19">
        <v>148984</v>
      </c>
      <c r="K80" s="29">
        <f t="shared" si="46"/>
        <v>7.2334543371460942</v>
      </c>
      <c r="L80" s="19" t="s">
        <v>58</v>
      </c>
      <c r="M80" s="23">
        <v>42775.649351851855</v>
      </c>
      <c r="N80" s="23"/>
      <c r="O80" s="179">
        <f t="shared" si="47"/>
        <v>100</v>
      </c>
      <c r="P80" s="19">
        <v>94.92</v>
      </c>
      <c r="Q80" s="19">
        <f t="shared" si="57"/>
        <v>5</v>
      </c>
      <c r="R80" s="19"/>
      <c r="S80" s="19">
        <f t="shared" si="58"/>
        <v>98507</v>
      </c>
      <c r="T80" s="19">
        <f t="shared" si="59"/>
        <v>98507</v>
      </c>
      <c r="U80" s="20">
        <f t="shared" si="48"/>
        <v>100</v>
      </c>
      <c r="V80" s="19">
        <v>62094</v>
      </c>
      <c r="W80" s="19">
        <v>62094</v>
      </c>
      <c r="X80" s="187">
        <f t="shared" si="49"/>
        <v>100</v>
      </c>
      <c r="Y80" s="19">
        <v>45932</v>
      </c>
      <c r="Z80" s="20">
        <v>45932</v>
      </c>
      <c r="AA80" s="20">
        <f t="shared" si="50"/>
        <v>100</v>
      </c>
      <c r="AB80" s="20">
        <v>52575</v>
      </c>
      <c r="AC80" s="20">
        <v>52575</v>
      </c>
      <c r="AD80" s="20">
        <f t="shared" si="51"/>
        <v>100</v>
      </c>
      <c r="AE80" s="20">
        <f t="shared" si="52"/>
        <v>114669</v>
      </c>
      <c r="AF80" s="20">
        <f t="shared" si="53"/>
        <v>114669</v>
      </c>
      <c r="AG80" s="187">
        <f t="shared" si="54"/>
        <v>100</v>
      </c>
      <c r="AH80" s="59" t="s">
        <v>362</v>
      </c>
      <c r="AI80" s="19" t="s">
        <v>481</v>
      </c>
      <c r="AJ80" s="1">
        <v>12</v>
      </c>
      <c r="AK80" s="1">
        <v>60</v>
      </c>
      <c r="AL80" s="1">
        <f t="shared" si="40"/>
        <v>720</v>
      </c>
      <c r="AM80" s="26">
        <f t="shared" si="55"/>
        <v>0</v>
      </c>
      <c r="AN80" s="26">
        <f>IF(AL80&gt;0,AM80/AL80,"")</f>
        <v>0</v>
      </c>
      <c r="AO80" s="26">
        <v>24.707865168539325</v>
      </c>
      <c r="AP80" s="181" t="s">
        <v>52</v>
      </c>
      <c r="AQ80" s="159">
        <v>96862</v>
      </c>
      <c r="AR80" s="159">
        <v>96862</v>
      </c>
      <c r="AS80" s="151">
        <f t="shared" si="56"/>
        <v>100</v>
      </c>
      <c r="AU80" s="26">
        <f t="shared" si="41"/>
        <v>1645</v>
      </c>
      <c r="AV80" s="26">
        <f t="shared" si="42"/>
        <v>1645</v>
      </c>
      <c r="AW80" s="26">
        <f t="shared" si="43"/>
        <v>0</v>
      </c>
      <c r="AX80" s="1">
        <v>4</v>
      </c>
    </row>
    <row r="81" spans="1:50" s="1" customFormat="1" x14ac:dyDescent="0.25">
      <c r="A81" s="173" t="s">
        <v>110</v>
      </c>
      <c r="B81" s="8">
        <v>7194838</v>
      </c>
      <c r="C81" s="8">
        <v>0</v>
      </c>
      <c r="D81" s="10">
        <v>1</v>
      </c>
      <c r="E81" s="10">
        <v>1</v>
      </c>
      <c r="F81" s="10"/>
      <c r="G81" s="10">
        <f t="shared" si="44"/>
        <v>100029</v>
      </c>
      <c r="H81" s="19">
        <f t="shared" si="45"/>
        <v>100029</v>
      </c>
      <c r="I81" s="19">
        <v>0</v>
      </c>
      <c r="J81" s="19">
        <v>64813</v>
      </c>
      <c r="K81" s="29">
        <f t="shared" si="46"/>
        <v>35.205790320806969</v>
      </c>
      <c r="L81" s="19" t="s">
        <v>58</v>
      </c>
      <c r="M81" s="23">
        <v>42774.335879629631</v>
      </c>
      <c r="N81" s="23"/>
      <c r="O81" s="179">
        <f t="shared" si="47"/>
        <v>100</v>
      </c>
      <c r="P81" s="19">
        <v>37.82</v>
      </c>
      <c r="Q81" s="19">
        <f t="shared" si="57"/>
        <v>62</v>
      </c>
      <c r="R81" s="19"/>
      <c r="S81" s="19">
        <f t="shared" si="58"/>
        <v>38109</v>
      </c>
      <c r="T81" s="19">
        <f t="shared" si="59"/>
        <v>38109</v>
      </c>
      <c r="U81" s="20">
        <f t="shared" si="48"/>
        <v>100</v>
      </c>
      <c r="V81" s="19">
        <v>61920</v>
      </c>
      <c r="W81" s="22">
        <v>61920</v>
      </c>
      <c r="X81" s="187">
        <f t="shared" si="49"/>
        <v>100</v>
      </c>
      <c r="Y81" s="20">
        <v>1317</v>
      </c>
      <c r="Z81" s="20">
        <v>1317</v>
      </c>
      <c r="AA81" s="20">
        <f t="shared" si="50"/>
        <v>100</v>
      </c>
      <c r="AB81" s="20">
        <v>36792</v>
      </c>
      <c r="AC81" s="20">
        <v>36792</v>
      </c>
      <c r="AD81" s="20">
        <f t="shared" si="51"/>
        <v>100</v>
      </c>
      <c r="AE81" s="20">
        <f t="shared" si="52"/>
        <v>98712</v>
      </c>
      <c r="AF81" s="20">
        <f t="shared" si="53"/>
        <v>98712</v>
      </c>
      <c r="AG81" s="187">
        <f t="shared" si="54"/>
        <v>100</v>
      </c>
      <c r="AH81" s="59" t="s">
        <v>497</v>
      </c>
      <c r="AI81" s="19" t="s">
        <v>495</v>
      </c>
      <c r="AJ81" s="1">
        <v>6</v>
      </c>
      <c r="AK81" s="1">
        <v>20</v>
      </c>
      <c r="AL81" s="1">
        <f t="shared" si="40"/>
        <v>120</v>
      </c>
      <c r="AM81" s="26">
        <f t="shared" si="55"/>
        <v>0</v>
      </c>
      <c r="AN81" s="26">
        <f>IF(AL81&gt;0,AM81/AL81,"")</f>
        <v>0</v>
      </c>
      <c r="AO81" s="26">
        <v>99.324403312226011</v>
      </c>
      <c r="AP81" s="181">
        <v>43189</v>
      </c>
      <c r="AQ81" s="159">
        <v>38359</v>
      </c>
      <c r="AR81" s="159">
        <v>7240</v>
      </c>
      <c r="AS81" s="151">
        <f t="shared" si="56"/>
        <v>18.874318934278786</v>
      </c>
      <c r="AU81" s="26">
        <f t="shared" si="41"/>
        <v>-250</v>
      </c>
      <c r="AV81" s="26">
        <f t="shared" si="42"/>
        <v>30869</v>
      </c>
      <c r="AW81" s="26">
        <f t="shared" si="43"/>
        <v>81.12568106572121</v>
      </c>
      <c r="AX81" s="1">
        <v>4</v>
      </c>
    </row>
    <row r="82" spans="1:50" s="1" customFormat="1" x14ac:dyDescent="0.25">
      <c r="A82" s="141" t="s">
        <v>288</v>
      </c>
      <c r="B82" s="8">
        <v>7132727</v>
      </c>
      <c r="C82" s="8">
        <v>0</v>
      </c>
      <c r="D82" s="10">
        <v>1</v>
      </c>
      <c r="E82" s="10">
        <v>1</v>
      </c>
      <c r="F82" s="10"/>
      <c r="G82" s="10">
        <f t="shared" si="44"/>
        <v>107343</v>
      </c>
      <c r="H82" s="19">
        <f t="shared" si="45"/>
        <v>107343</v>
      </c>
      <c r="I82" s="19">
        <v>0</v>
      </c>
      <c r="J82" s="19">
        <v>119163</v>
      </c>
      <c r="K82" s="29">
        <f t="shared" si="46"/>
        <v>-11.011430647550375</v>
      </c>
      <c r="L82" s="19" t="s">
        <v>58</v>
      </c>
      <c r="M82" s="23"/>
      <c r="N82" s="23"/>
      <c r="O82" s="179">
        <f t="shared" si="47"/>
        <v>100</v>
      </c>
      <c r="P82" s="19">
        <v>100</v>
      </c>
      <c r="Q82" s="19">
        <f t="shared" si="57"/>
        <v>0</v>
      </c>
      <c r="R82" s="19"/>
      <c r="S82" s="19">
        <f t="shared" si="58"/>
        <v>46093</v>
      </c>
      <c r="T82" s="19">
        <f t="shared" si="59"/>
        <v>46093</v>
      </c>
      <c r="U82" s="20">
        <f t="shared" si="48"/>
        <v>100</v>
      </c>
      <c r="V82" s="19">
        <v>61250</v>
      </c>
      <c r="W82" s="19">
        <v>61250</v>
      </c>
      <c r="X82" s="187">
        <f t="shared" si="49"/>
        <v>100</v>
      </c>
      <c r="Y82" s="19">
        <v>669</v>
      </c>
      <c r="Z82" s="20">
        <v>669</v>
      </c>
      <c r="AA82" s="20">
        <f t="shared" si="50"/>
        <v>100</v>
      </c>
      <c r="AB82" s="20">
        <v>45424</v>
      </c>
      <c r="AC82" s="20">
        <v>45424</v>
      </c>
      <c r="AD82" s="20">
        <f t="shared" si="51"/>
        <v>100</v>
      </c>
      <c r="AE82" s="20">
        <f t="shared" si="52"/>
        <v>106674</v>
      </c>
      <c r="AF82" s="20">
        <f t="shared" si="53"/>
        <v>106674</v>
      </c>
      <c r="AG82" s="187">
        <f t="shared" si="54"/>
        <v>100</v>
      </c>
      <c r="AH82" s="59" t="s">
        <v>233</v>
      </c>
      <c r="AI82" s="19" t="s">
        <v>52</v>
      </c>
      <c r="AL82" s="1" t="str">
        <f t="shared" si="40"/>
        <v/>
      </c>
      <c r="AM82" s="26">
        <f t="shared" si="55"/>
        <v>0</v>
      </c>
      <c r="AN82" s="26" t="e">
        <f>IF(AL82&gt;0,AM82/AL82,"")</f>
        <v>#VALUE!</v>
      </c>
      <c r="AO82" s="26"/>
      <c r="AP82" s="181" t="s">
        <v>52</v>
      </c>
      <c r="AQ82" s="159">
        <v>45193</v>
      </c>
      <c r="AR82" s="159">
        <v>45193</v>
      </c>
      <c r="AS82" s="151">
        <f t="shared" si="56"/>
        <v>100</v>
      </c>
      <c r="AU82" s="26">
        <f t="shared" si="41"/>
        <v>900</v>
      </c>
      <c r="AV82" s="26">
        <f t="shared" si="42"/>
        <v>900</v>
      </c>
      <c r="AW82" s="26">
        <f t="shared" si="43"/>
        <v>0</v>
      </c>
      <c r="AX82" s="1">
        <v>1</v>
      </c>
    </row>
    <row r="83" spans="1:50" s="1" customFormat="1" x14ac:dyDescent="0.25">
      <c r="A83" s="173" t="s">
        <v>168</v>
      </c>
      <c r="B83" s="8">
        <v>8108293</v>
      </c>
      <c r="C83" s="8">
        <v>0</v>
      </c>
      <c r="D83" s="10">
        <v>1</v>
      </c>
      <c r="E83" s="10">
        <v>1</v>
      </c>
      <c r="F83" s="10"/>
      <c r="G83" s="10">
        <f t="shared" si="44"/>
        <v>114539</v>
      </c>
      <c r="H83" s="19">
        <f t="shared" si="45"/>
        <v>114539</v>
      </c>
      <c r="I83" s="19">
        <v>997</v>
      </c>
      <c r="J83" s="19">
        <v>111702</v>
      </c>
      <c r="K83" s="29">
        <f t="shared" si="46"/>
        <v>2.4768856022839381</v>
      </c>
      <c r="L83" s="19" t="s">
        <v>58</v>
      </c>
      <c r="M83" s="23">
        <v>42775.625358796293</v>
      </c>
      <c r="N83" s="23"/>
      <c r="O83" s="179">
        <f t="shared" si="47"/>
        <v>100</v>
      </c>
      <c r="P83" s="19">
        <v>94</v>
      </c>
      <c r="Q83" s="19">
        <f t="shared" si="57"/>
        <v>6</v>
      </c>
      <c r="R83" s="19"/>
      <c r="S83" s="19">
        <f t="shared" si="58"/>
        <v>53939</v>
      </c>
      <c r="T83" s="19">
        <f t="shared" si="59"/>
        <v>53939</v>
      </c>
      <c r="U83" s="20">
        <f t="shared" si="48"/>
        <v>100</v>
      </c>
      <c r="V83" s="19">
        <v>60600</v>
      </c>
      <c r="W83" s="19">
        <v>60600</v>
      </c>
      <c r="X83" s="187">
        <f t="shared" si="49"/>
        <v>100</v>
      </c>
      <c r="Y83" s="19">
        <v>0</v>
      </c>
      <c r="Z83" s="20">
        <v>0</v>
      </c>
      <c r="AA83" s="20" t="str">
        <f t="shared" si="50"/>
        <v/>
      </c>
      <c r="AB83" s="20">
        <v>53939</v>
      </c>
      <c r="AC83" s="20">
        <v>53939</v>
      </c>
      <c r="AD83" s="20">
        <f t="shared" si="51"/>
        <v>100</v>
      </c>
      <c r="AE83" s="20">
        <f t="shared" si="52"/>
        <v>114539</v>
      </c>
      <c r="AF83" s="20">
        <f t="shared" si="53"/>
        <v>114539</v>
      </c>
      <c r="AG83" s="187">
        <f t="shared" si="54"/>
        <v>100</v>
      </c>
      <c r="AH83" s="59" t="s">
        <v>338</v>
      </c>
      <c r="AI83" s="19" t="s">
        <v>498</v>
      </c>
      <c r="AJ83" s="1">
        <v>7</v>
      </c>
      <c r="AK83" s="1">
        <v>20</v>
      </c>
      <c r="AL83" s="1">
        <f t="shared" si="40"/>
        <v>140</v>
      </c>
      <c r="AM83" s="26">
        <f t="shared" si="55"/>
        <v>0</v>
      </c>
      <c r="AN83" s="26"/>
      <c r="AO83" s="26"/>
      <c r="AP83" s="181" t="s">
        <v>52</v>
      </c>
      <c r="AQ83" s="159">
        <v>53895</v>
      </c>
      <c r="AR83" s="159">
        <v>53895</v>
      </c>
      <c r="AS83" s="151">
        <f t="shared" si="56"/>
        <v>100</v>
      </c>
      <c r="AU83" s="26">
        <f t="shared" si="41"/>
        <v>44</v>
      </c>
      <c r="AV83" s="26">
        <f t="shared" si="42"/>
        <v>44</v>
      </c>
      <c r="AW83" s="26">
        <f t="shared" si="43"/>
        <v>0</v>
      </c>
      <c r="AX83" s="1">
        <v>4</v>
      </c>
    </row>
    <row r="84" spans="1:50" s="1" customFormat="1" x14ac:dyDescent="0.25">
      <c r="A84" s="141" t="s">
        <v>184</v>
      </c>
      <c r="B84" s="8">
        <v>7175485</v>
      </c>
      <c r="C84" s="8">
        <v>0</v>
      </c>
      <c r="D84" s="10">
        <v>1</v>
      </c>
      <c r="E84" s="10">
        <v>1</v>
      </c>
      <c r="F84" s="10"/>
      <c r="G84" s="10">
        <f t="shared" si="44"/>
        <v>83330</v>
      </c>
      <c r="H84" s="19">
        <f t="shared" si="45"/>
        <v>83330</v>
      </c>
      <c r="I84" s="19">
        <v>267</v>
      </c>
      <c r="J84" s="19">
        <v>78479</v>
      </c>
      <c r="K84" s="29">
        <f t="shared" si="46"/>
        <v>5.8214328573142922</v>
      </c>
      <c r="L84" s="19" t="s">
        <v>58</v>
      </c>
      <c r="M84" s="23">
        <v>42541.515462962961</v>
      </c>
      <c r="N84" s="23"/>
      <c r="O84" s="179">
        <f t="shared" si="47"/>
        <v>100</v>
      </c>
      <c r="P84" s="19">
        <v>98.3</v>
      </c>
      <c r="Q84" s="19">
        <f t="shared" si="57"/>
        <v>2</v>
      </c>
      <c r="R84" s="19"/>
      <c r="S84" s="19">
        <f t="shared" si="58"/>
        <v>23570</v>
      </c>
      <c r="T84" s="19">
        <f t="shared" si="59"/>
        <v>23570</v>
      </c>
      <c r="U84" s="20">
        <f t="shared" si="48"/>
        <v>100</v>
      </c>
      <c r="V84" s="19">
        <v>59760</v>
      </c>
      <c r="W84" s="19">
        <v>59760</v>
      </c>
      <c r="X84" s="187">
        <f t="shared" si="49"/>
        <v>100</v>
      </c>
      <c r="Y84" s="19">
        <v>269</v>
      </c>
      <c r="Z84" s="20">
        <v>269</v>
      </c>
      <c r="AA84" s="20">
        <f t="shared" si="50"/>
        <v>100</v>
      </c>
      <c r="AB84" s="20">
        <v>23301</v>
      </c>
      <c r="AC84" s="20">
        <v>23301</v>
      </c>
      <c r="AD84" s="20">
        <f t="shared" si="51"/>
        <v>100</v>
      </c>
      <c r="AE84" s="20">
        <f t="shared" si="52"/>
        <v>83061</v>
      </c>
      <c r="AF84" s="20">
        <f t="shared" si="53"/>
        <v>83061</v>
      </c>
      <c r="AG84" s="187">
        <f t="shared" si="54"/>
        <v>100</v>
      </c>
      <c r="AH84" s="59" t="s">
        <v>383</v>
      </c>
      <c r="AI84" s="19" t="s">
        <v>52</v>
      </c>
      <c r="AJ84" s="1">
        <v>12</v>
      </c>
      <c r="AK84" s="1">
        <v>30</v>
      </c>
      <c r="AL84" s="1">
        <f t="shared" si="40"/>
        <v>360</v>
      </c>
      <c r="AM84" s="26">
        <f t="shared" si="55"/>
        <v>0</v>
      </c>
      <c r="AN84" s="26">
        <f>IF(AL84&gt;0,AM84/AL84,"")</f>
        <v>0</v>
      </c>
      <c r="AO84" s="26">
        <v>4.6437607529602269</v>
      </c>
      <c r="AP84" s="181" t="s">
        <v>52</v>
      </c>
      <c r="AQ84" s="159">
        <v>23570</v>
      </c>
      <c r="AR84" s="159">
        <v>23570</v>
      </c>
      <c r="AS84" s="151">
        <f t="shared" si="56"/>
        <v>100</v>
      </c>
      <c r="AU84" s="26">
        <f t="shared" si="41"/>
        <v>0</v>
      </c>
      <c r="AV84" s="26">
        <f t="shared" si="42"/>
        <v>0</v>
      </c>
      <c r="AW84" s="26">
        <f t="shared" si="43"/>
        <v>0</v>
      </c>
      <c r="AX84" s="1">
        <v>1</v>
      </c>
    </row>
    <row r="85" spans="1:50" s="1" customFormat="1" x14ac:dyDescent="0.25">
      <c r="A85" s="173" t="s">
        <v>283</v>
      </c>
      <c r="B85" s="8">
        <v>7327340</v>
      </c>
      <c r="C85" s="8">
        <v>0</v>
      </c>
      <c r="D85" s="10">
        <v>1</v>
      </c>
      <c r="E85" s="10">
        <v>1</v>
      </c>
      <c r="F85" s="10"/>
      <c r="G85" s="10">
        <f t="shared" si="44"/>
        <v>144795</v>
      </c>
      <c r="H85" s="19">
        <f t="shared" si="45"/>
        <v>144795</v>
      </c>
      <c r="I85" s="19">
        <v>0</v>
      </c>
      <c r="J85" s="19">
        <v>141399</v>
      </c>
      <c r="K85" s="29">
        <f t="shared" si="46"/>
        <v>2.345384854449394</v>
      </c>
      <c r="L85" s="19" t="s">
        <v>58</v>
      </c>
      <c r="M85" s="23">
        <v>42775.566793981481</v>
      </c>
      <c r="N85" s="23"/>
      <c r="O85" s="179">
        <f t="shared" si="47"/>
        <v>100</v>
      </c>
      <c r="P85" s="19">
        <v>100</v>
      </c>
      <c r="Q85" s="19">
        <f t="shared" si="57"/>
        <v>0</v>
      </c>
      <c r="R85" s="19"/>
      <c r="S85" s="19">
        <f t="shared" si="58"/>
        <v>85189</v>
      </c>
      <c r="T85" s="19">
        <f t="shared" si="59"/>
        <v>85189</v>
      </c>
      <c r="U85" s="20">
        <f t="shared" si="48"/>
        <v>100</v>
      </c>
      <c r="V85" s="19">
        <v>59606</v>
      </c>
      <c r="W85" s="19">
        <v>59606</v>
      </c>
      <c r="X85" s="187">
        <f t="shared" si="49"/>
        <v>100</v>
      </c>
      <c r="Y85" s="19">
        <v>24665</v>
      </c>
      <c r="Z85" s="20">
        <v>24665</v>
      </c>
      <c r="AA85" s="20">
        <f t="shared" si="50"/>
        <v>100</v>
      </c>
      <c r="AB85" s="20">
        <v>60524</v>
      </c>
      <c r="AC85" s="20">
        <v>60524</v>
      </c>
      <c r="AD85" s="20">
        <f t="shared" si="51"/>
        <v>100</v>
      </c>
      <c r="AE85" s="20">
        <f t="shared" si="52"/>
        <v>120130</v>
      </c>
      <c r="AF85" s="20">
        <f t="shared" si="53"/>
        <v>120130</v>
      </c>
      <c r="AG85" s="187">
        <f t="shared" si="54"/>
        <v>100</v>
      </c>
      <c r="AH85" s="59" t="s">
        <v>368</v>
      </c>
      <c r="AI85" s="19" t="s">
        <v>52</v>
      </c>
      <c r="AL85" s="1" t="str">
        <f t="shared" si="40"/>
        <v/>
      </c>
      <c r="AM85" s="26">
        <f t="shared" si="55"/>
        <v>0</v>
      </c>
      <c r="AN85" s="26"/>
      <c r="AO85" s="26">
        <v>19.355212355212355</v>
      </c>
      <c r="AP85" s="181" t="s">
        <v>52</v>
      </c>
      <c r="AQ85" s="159">
        <v>85066</v>
      </c>
      <c r="AR85" s="159">
        <v>85066</v>
      </c>
      <c r="AS85" s="151">
        <f t="shared" si="56"/>
        <v>100</v>
      </c>
      <c r="AU85" s="26">
        <f t="shared" si="41"/>
        <v>123</v>
      </c>
      <c r="AV85" s="26">
        <f t="shared" si="42"/>
        <v>123</v>
      </c>
      <c r="AW85" s="26">
        <f t="shared" si="43"/>
        <v>0</v>
      </c>
      <c r="AX85" s="1">
        <v>4</v>
      </c>
    </row>
    <row r="86" spans="1:50" s="1" customFormat="1" x14ac:dyDescent="0.25">
      <c r="A86" s="141" t="s">
        <v>115</v>
      </c>
      <c r="B86" s="8">
        <v>7355866</v>
      </c>
      <c r="C86" s="8">
        <v>0</v>
      </c>
      <c r="D86" s="10">
        <v>1</v>
      </c>
      <c r="E86" s="10">
        <v>1</v>
      </c>
      <c r="F86" s="10"/>
      <c r="G86" s="10">
        <f t="shared" si="44"/>
        <v>84536</v>
      </c>
      <c r="H86" s="19">
        <f t="shared" si="45"/>
        <v>84536</v>
      </c>
      <c r="I86" s="19">
        <v>133</v>
      </c>
      <c r="J86" s="19">
        <v>71203</v>
      </c>
      <c r="K86" s="29">
        <f t="shared" si="46"/>
        <v>15.771978801930539</v>
      </c>
      <c r="L86" s="19" t="s">
        <v>58</v>
      </c>
      <c r="M86" s="23">
        <v>42713.599479166667</v>
      </c>
      <c r="N86" s="23"/>
      <c r="O86" s="179">
        <f t="shared" si="47"/>
        <v>100</v>
      </c>
      <c r="P86" s="19">
        <v>75.23</v>
      </c>
      <c r="Q86" s="19">
        <f t="shared" si="57"/>
        <v>25</v>
      </c>
      <c r="R86" s="19"/>
      <c r="S86" s="19">
        <f t="shared" si="58"/>
        <v>25353</v>
      </c>
      <c r="T86" s="19">
        <f t="shared" si="59"/>
        <v>25353</v>
      </c>
      <c r="U86" s="20">
        <f t="shared" si="48"/>
        <v>100</v>
      </c>
      <c r="V86" s="19">
        <v>59183</v>
      </c>
      <c r="W86" s="19">
        <v>59183</v>
      </c>
      <c r="X86" s="187">
        <f t="shared" si="49"/>
        <v>100</v>
      </c>
      <c r="Y86" s="20">
        <v>0</v>
      </c>
      <c r="Z86" s="20">
        <v>0</v>
      </c>
      <c r="AA86" s="20" t="str">
        <f t="shared" si="50"/>
        <v/>
      </c>
      <c r="AB86" s="20">
        <v>25353</v>
      </c>
      <c r="AC86" s="20">
        <v>25353</v>
      </c>
      <c r="AD86" s="20">
        <f t="shared" si="51"/>
        <v>100</v>
      </c>
      <c r="AE86" s="20">
        <f t="shared" si="52"/>
        <v>84536</v>
      </c>
      <c r="AF86" s="20">
        <f t="shared" si="53"/>
        <v>84536</v>
      </c>
      <c r="AG86" s="187">
        <f t="shared" si="54"/>
        <v>100</v>
      </c>
      <c r="AH86" s="59" t="s">
        <v>429</v>
      </c>
      <c r="AI86" s="19" t="s">
        <v>52</v>
      </c>
      <c r="AJ86" s="1">
        <v>4</v>
      </c>
      <c r="AK86" s="1">
        <v>15</v>
      </c>
      <c r="AL86" s="1">
        <f t="shared" si="40"/>
        <v>60</v>
      </c>
      <c r="AM86" s="26">
        <f t="shared" si="55"/>
        <v>0</v>
      </c>
      <c r="AN86" s="26"/>
      <c r="AO86" s="26">
        <v>1754.141129032258</v>
      </c>
      <c r="AP86" s="181" t="s">
        <v>52</v>
      </c>
      <c r="AQ86" s="159">
        <v>25353</v>
      </c>
      <c r="AR86" s="159">
        <v>16765</v>
      </c>
      <c r="AS86" s="151">
        <f t="shared" si="56"/>
        <v>66.126296690726932</v>
      </c>
      <c r="AU86" s="26">
        <f t="shared" si="41"/>
        <v>0</v>
      </c>
      <c r="AV86" s="26">
        <f t="shared" si="42"/>
        <v>8588</v>
      </c>
      <c r="AW86" s="26">
        <f t="shared" si="43"/>
        <v>33.873703309273068</v>
      </c>
      <c r="AX86" s="1">
        <v>2</v>
      </c>
    </row>
    <row r="87" spans="1:50" s="1" customFormat="1" x14ac:dyDescent="0.25">
      <c r="A87" s="173" t="s">
        <v>287</v>
      </c>
      <c r="B87" s="8">
        <v>7226608</v>
      </c>
      <c r="C87" s="8">
        <v>0</v>
      </c>
      <c r="D87" s="10">
        <v>1</v>
      </c>
      <c r="E87" s="10">
        <v>1</v>
      </c>
      <c r="F87" s="10"/>
      <c r="G87" s="10">
        <f t="shared" si="44"/>
        <v>114961</v>
      </c>
      <c r="H87" s="19">
        <f t="shared" si="45"/>
        <v>114961</v>
      </c>
      <c r="I87" s="19">
        <v>0</v>
      </c>
      <c r="J87" s="19">
        <v>114872</v>
      </c>
      <c r="K87" s="29">
        <f t="shared" si="46"/>
        <v>7.7417558998268979E-2</v>
      </c>
      <c r="L87" s="19" t="s">
        <v>58</v>
      </c>
      <c r="M87" s="23">
        <v>42770.635717592595</v>
      </c>
      <c r="N87" s="23"/>
      <c r="O87" s="179">
        <f t="shared" si="47"/>
        <v>100</v>
      </c>
      <c r="P87" s="19">
        <v>100</v>
      </c>
      <c r="Q87" s="19">
        <f t="shared" si="57"/>
        <v>0</v>
      </c>
      <c r="R87" s="19"/>
      <c r="S87" s="19">
        <f t="shared" si="58"/>
        <v>57125</v>
      </c>
      <c r="T87" s="19">
        <f t="shared" si="59"/>
        <v>57125</v>
      </c>
      <c r="U87" s="20">
        <f t="shared" si="48"/>
        <v>100</v>
      </c>
      <c r="V87" s="19">
        <v>57836</v>
      </c>
      <c r="W87" s="19">
        <v>57836</v>
      </c>
      <c r="X87" s="187">
        <f t="shared" si="49"/>
        <v>100</v>
      </c>
      <c r="Y87" s="19">
        <v>20915</v>
      </c>
      <c r="Z87" s="20">
        <v>20915</v>
      </c>
      <c r="AA87" s="20">
        <f t="shared" si="50"/>
        <v>100</v>
      </c>
      <c r="AB87" s="20">
        <v>36210</v>
      </c>
      <c r="AC87" s="20">
        <v>36210</v>
      </c>
      <c r="AD87" s="20">
        <f t="shared" si="51"/>
        <v>100</v>
      </c>
      <c r="AE87" s="20">
        <f t="shared" si="52"/>
        <v>94046</v>
      </c>
      <c r="AF87" s="20">
        <f t="shared" si="53"/>
        <v>94046</v>
      </c>
      <c r="AG87" s="187">
        <f t="shared" si="54"/>
        <v>100</v>
      </c>
      <c r="AH87" s="59" t="s">
        <v>373</v>
      </c>
      <c r="AI87" s="19" t="s">
        <v>52</v>
      </c>
      <c r="AL87" s="1" t="str">
        <f t="shared" si="40"/>
        <v/>
      </c>
      <c r="AM87" s="26">
        <f t="shared" si="55"/>
        <v>0</v>
      </c>
      <c r="AN87" s="26" t="e">
        <f>IF(AL87&gt;0,AM87/AL87,"")</f>
        <v>#VALUE!</v>
      </c>
      <c r="AO87" s="26"/>
      <c r="AP87" s="181" t="s">
        <v>52</v>
      </c>
      <c r="AQ87" s="159">
        <v>56226</v>
      </c>
      <c r="AR87" s="159">
        <v>56226</v>
      </c>
      <c r="AS87" s="151">
        <f t="shared" si="56"/>
        <v>100</v>
      </c>
      <c r="AU87" s="26">
        <f t="shared" si="41"/>
        <v>899</v>
      </c>
      <c r="AV87" s="26">
        <f t="shared" si="42"/>
        <v>899</v>
      </c>
      <c r="AW87" s="26">
        <f t="shared" si="43"/>
        <v>0</v>
      </c>
      <c r="AX87" s="1">
        <v>4</v>
      </c>
    </row>
    <row r="88" spans="1:50" s="1" customFormat="1" x14ac:dyDescent="0.25">
      <c r="A88" s="141" t="s">
        <v>119</v>
      </c>
      <c r="B88" s="8">
        <v>8108005</v>
      </c>
      <c r="C88" s="8">
        <v>0</v>
      </c>
      <c r="D88" s="10">
        <v>1</v>
      </c>
      <c r="E88" s="10">
        <v>1</v>
      </c>
      <c r="F88" s="10"/>
      <c r="G88" s="10">
        <f t="shared" si="44"/>
        <v>116229</v>
      </c>
      <c r="H88" s="19">
        <f t="shared" si="45"/>
        <v>116229</v>
      </c>
      <c r="I88" s="19">
        <v>764</v>
      </c>
      <c r="J88" s="19">
        <v>97841</v>
      </c>
      <c r="K88" s="29">
        <f t="shared" si="46"/>
        <v>15.820492303986097</v>
      </c>
      <c r="L88" s="19" t="s">
        <v>58</v>
      </c>
      <c r="M88" s="23"/>
      <c r="N88" s="23" t="s">
        <v>63</v>
      </c>
      <c r="O88" s="179">
        <f t="shared" si="47"/>
        <v>100</v>
      </c>
      <c r="P88" s="19">
        <v>65</v>
      </c>
      <c r="Q88" s="19">
        <f t="shared" si="57"/>
        <v>35</v>
      </c>
      <c r="R88" s="19"/>
      <c r="S88" s="19">
        <f t="shared" si="58"/>
        <v>58446</v>
      </c>
      <c r="T88" s="19">
        <f t="shared" si="59"/>
        <v>58446</v>
      </c>
      <c r="U88" s="20">
        <f t="shared" si="48"/>
        <v>100</v>
      </c>
      <c r="V88" s="19">
        <v>57783</v>
      </c>
      <c r="W88" s="19">
        <v>57783</v>
      </c>
      <c r="X88" s="187">
        <f t="shared" si="49"/>
        <v>100</v>
      </c>
      <c r="Y88" s="20">
        <v>16626</v>
      </c>
      <c r="Z88" s="20">
        <v>16626</v>
      </c>
      <c r="AA88" s="20">
        <f t="shared" si="50"/>
        <v>100</v>
      </c>
      <c r="AB88" s="20">
        <v>41820</v>
      </c>
      <c r="AC88" s="20">
        <v>41820</v>
      </c>
      <c r="AD88" s="20">
        <f t="shared" si="51"/>
        <v>100</v>
      </c>
      <c r="AE88" s="20">
        <f t="shared" si="52"/>
        <v>99603</v>
      </c>
      <c r="AF88" s="20">
        <f t="shared" si="53"/>
        <v>99603</v>
      </c>
      <c r="AG88" s="187">
        <f t="shared" si="54"/>
        <v>100</v>
      </c>
      <c r="AH88" s="59" t="s">
        <v>196</v>
      </c>
      <c r="AI88" s="19" t="s">
        <v>475</v>
      </c>
      <c r="AJ88" s="1">
        <v>8</v>
      </c>
      <c r="AK88" s="1">
        <v>350</v>
      </c>
      <c r="AL88" s="1">
        <f t="shared" si="40"/>
        <v>2800</v>
      </c>
      <c r="AM88" s="26">
        <f t="shared" si="55"/>
        <v>0</v>
      </c>
      <c r="AN88" s="26">
        <f>IF(AL88&gt;0,AM88/AL88,"")</f>
        <v>0</v>
      </c>
      <c r="AO88" s="26">
        <v>15.881029986962192</v>
      </c>
      <c r="AP88" s="181" t="s">
        <v>52</v>
      </c>
      <c r="AQ88" s="159">
        <v>37392</v>
      </c>
      <c r="AR88" s="159">
        <v>29642</v>
      </c>
      <c r="AS88" s="151">
        <f t="shared" si="56"/>
        <v>79.273641420624728</v>
      </c>
      <c r="AU88" s="26">
        <f t="shared" si="41"/>
        <v>21054</v>
      </c>
      <c r="AV88" s="26">
        <f t="shared" si="42"/>
        <v>28804</v>
      </c>
      <c r="AW88" s="26">
        <f t="shared" si="43"/>
        <v>20.726358579375272</v>
      </c>
      <c r="AX88" s="1">
        <v>1</v>
      </c>
    </row>
    <row r="89" spans="1:50" s="1" customFormat="1" x14ac:dyDescent="0.25">
      <c r="A89" s="141" t="s">
        <v>163</v>
      </c>
      <c r="B89" s="8">
        <v>7212577</v>
      </c>
      <c r="C89" s="8">
        <v>0</v>
      </c>
      <c r="D89" s="10">
        <v>1</v>
      </c>
      <c r="E89" s="10">
        <v>1</v>
      </c>
      <c r="F89" s="10"/>
      <c r="G89" s="10">
        <f t="shared" si="44"/>
        <v>98648</v>
      </c>
      <c r="H89" s="19">
        <f t="shared" si="45"/>
        <v>98648</v>
      </c>
      <c r="I89" s="19">
        <v>1384</v>
      </c>
      <c r="J89" s="19">
        <v>94291</v>
      </c>
      <c r="K89" s="29">
        <f t="shared" si="46"/>
        <v>4.4167139729137945</v>
      </c>
      <c r="L89" s="19" t="s">
        <v>58</v>
      </c>
      <c r="M89" s="23"/>
      <c r="N89" s="23" t="s">
        <v>75</v>
      </c>
      <c r="O89" s="179">
        <f t="shared" si="47"/>
        <v>100</v>
      </c>
      <c r="P89" s="19">
        <v>85.47</v>
      </c>
      <c r="Q89" s="19">
        <f t="shared" si="57"/>
        <v>15</v>
      </c>
      <c r="R89" s="19"/>
      <c r="S89" s="19">
        <f t="shared" si="58"/>
        <v>41113</v>
      </c>
      <c r="T89" s="19">
        <f t="shared" si="59"/>
        <v>41113</v>
      </c>
      <c r="U89" s="20">
        <f t="shared" si="48"/>
        <v>100</v>
      </c>
      <c r="V89" s="19">
        <v>57535</v>
      </c>
      <c r="W89" s="19">
        <v>57535</v>
      </c>
      <c r="X89" s="187">
        <f t="shared" si="49"/>
        <v>100</v>
      </c>
      <c r="Y89" s="19">
        <v>9516</v>
      </c>
      <c r="Z89" s="20">
        <v>9516</v>
      </c>
      <c r="AA89" s="20">
        <f t="shared" si="50"/>
        <v>100</v>
      </c>
      <c r="AB89" s="20">
        <v>31597</v>
      </c>
      <c r="AC89" s="20">
        <v>31597</v>
      </c>
      <c r="AD89" s="20">
        <f t="shared" si="51"/>
        <v>100</v>
      </c>
      <c r="AE89" s="20">
        <f t="shared" si="52"/>
        <v>89132</v>
      </c>
      <c r="AF89" s="20">
        <f t="shared" si="53"/>
        <v>89132</v>
      </c>
      <c r="AG89" s="187">
        <f t="shared" si="54"/>
        <v>100</v>
      </c>
      <c r="AH89" s="59" t="s">
        <v>377</v>
      </c>
      <c r="AI89" s="19" t="s">
        <v>52</v>
      </c>
      <c r="AJ89" s="1">
        <v>13</v>
      </c>
      <c r="AK89" s="1">
        <v>15</v>
      </c>
      <c r="AL89" s="1">
        <f t="shared" si="40"/>
        <v>195</v>
      </c>
      <c r="AM89" s="26">
        <f t="shared" si="55"/>
        <v>0</v>
      </c>
      <c r="AN89" s="26"/>
      <c r="AO89" s="26">
        <v>41.890909090909091</v>
      </c>
      <c r="AP89" s="181" t="s">
        <v>52</v>
      </c>
      <c r="AQ89" s="159">
        <v>38437</v>
      </c>
      <c r="AR89" s="159">
        <v>38437</v>
      </c>
      <c r="AS89" s="151">
        <f t="shared" si="56"/>
        <v>100</v>
      </c>
      <c r="AU89" s="26">
        <f t="shared" si="41"/>
        <v>2676</v>
      </c>
      <c r="AV89" s="26">
        <f t="shared" si="42"/>
        <v>2676</v>
      </c>
      <c r="AW89" s="26">
        <f t="shared" si="43"/>
        <v>0</v>
      </c>
      <c r="AX89" s="1">
        <v>1</v>
      </c>
    </row>
    <row r="90" spans="1:50" s="1" customFormat="1" x14ac:dyDescent="0.25">
      <c r="A90" s="141" t="s">
        <v>281</v>
      </c>
      <c r="B90" s="8">
        <v>8060975</v>
      </c>
      <c r="C90" s="8">
        <v>0</v>
      </c>
      <c r="D90" s="10">
        <v>1</v>
      </c>
      <c r="E90" s="10">
        <v>1</v>
      </c>
      <c r="F90" s="10"/>
      <c r="G90" s="10">
        <f t="shared" si="44"/>
        <v>126936</v>
      </c>
      <c r="H90" s="19">
        <f t="shared" si="45"/>
        <v>126936</v>
      </c>
      <c r="I90" s="19">
        <v>0</v>
      </c>
      <c r="J90" s="19">
        <v>109545</v>
      </c>
      <c r="K90" s="29">
        <f t="shared" si="46"/>
        <v>13.700605029306107</v>
      </c>
      <c r="L90" s="19" t="s">
        <v>58</v>
      </c>
      <c r="M90" s="23"/>
      <c r="N90" s="23" t="s">
        <v>59</v>
      </c>
      <c r="O90" s="179">
        <f t="shared" si="47"/>
        <v>100</v>
      </c>
      <c r="P90" s="19">
        <v>100</v>
      </c>
      <c r="Q90" s="19">
        <f t="shared" si="57"/>
        <v>0</v>
      </c>
      <c r="R90" s="19"/>
      <c r="S90" s="19">
        <f t="shared" si="58"/>
        <v>69812</v>
      </c>
      <c r="T90" s="19">
        <f t="shared" si="59"/>
        <v>69812</v>
      </c>
      <c r="U90" s="20">
        <f t="shared" si="48"/>
        <v>100</v>
      </c>
      <c r="V90" s="19">
        <v>57124</v>
      </c>
      <c r="W90" s="19">
        <v>57124</v>
      </c>
      <c r="X90" s="187">
        <f t="shared" si="49"/>
        <v>100</v>
      </c>
      <c r="Y90" s="19">
        <v>20028</v>
      </c>
      <c r="Z90" s="20">
        <v>20028</v>
      </c>
      <c r="AA90" s="20">
        <f t="shared" si="50"/>
        <v>100</v>
      </c>
      <c r="AB90" s="20">
        <v>49784</v>
      </c>
      <c r="AC90" s="20">
        <v>49784</v>
      </c>
      <c r="AD90" s="20">
        <f t="shared" si="51"/>
        <v>100</v>
      </c>
      <c r="AE90" s="20">
        <f t="shared" si="52"/>
        <v>106908</v>
      </c>
      <c r="AF90" s="20">
        <f t="shared" si="53"/>
        <v>106908</v>
      </c>
      <c r="AG90" s="187">
        <f t="shared" si="54"/>
        <v>100</v>
      </c>
      <c r="AH90" s="59" t="s">
        <v>446</v>
      </c>
      <c r="AI90" s="19" t="s">
        <v>196</v>
      </c>
      <c r="AJ90" s="1" t="s">
        <v>86</v>
      </c>
      <c r="AL90" s="1" t="str">
        <f t="shared" si="40"/>
        <v/>
      </c>
      <c r="AM90" s="26">
        <f t="shared" si="55"/>
        <v>0</v>
      </c>
      <c r="AO90" s="26">
        <v>340.86075949367091</v>
      </c>
      <c r="AP90" s="181" t="s">
        <v>52</v>
      </c>
      <c r="AQ90" s="159">
        <v>96825</v>
      </c>
      <c r="AR90" s="159">
        <v>96825</v>
      </c>
      <c r="AS90" s="151">
        <f t="shared" si="56"/>
        <v>100</v>
      </c>
      <c r="AU90" s="26">
        <f t="shared" si="41"/>
        <v>-27013</v>
      </c>
      <c r="AV90" s="26">
        <f t="shared" si="42"/>
        <v>-27013</v>
      </c>
      <c r="AW90" s="26">
        <f t="shared" si="43"/>
        <v>0</v>
      </c>
      <c r="AX90" s="1">
        <v>1</v>
      </c>
    </row>
    <row r="91" spans="1:50" s="1" customFormat="1" x14ac:dyDescent="0.25">
      <c r="A91" s="173" t="s">
        <v>282</v>
      </c>
      <c r="B91" s="8">
        <v>8141231</v>
      </c>
      <c r="C91" s="8">
        <v>0</v>
      </c>
      <c r="D91" s="10">
        <v>1</v>
      </c>
      <c r="E91" s="10">
        <v>1</v>
      </c>
      <c r="F91" s="10"/>
      <c r="G91" s="10">
        <f t="shared" si="44"/>
        <v>146329</v>
      </c>
      <c r="H91" s="19">
        <f t="shared" si="45"/>
        <v>146329</v>
      </c>
      <c r="I91" s="19">
        <v>0</v>
      </c>
      <c r="J91" s="19">
        <v>146360</v>
      </c>
      <c r="K91" s="29">
        <f t="shared" si="46"/>
        <v>-2.1185137600885674E-2</v>
      </c>
      <c r="L91" s="19" t="s">
        <v>58</v>
      </c>
      <c r="M91" s="23">
        <v>42776.210370370369</v>
      </c>
      <c r="N91" s="23"/>
      <c r="O91" s="179">
        <f t="shared" si="47"/>
        <v>100</v>
      </c>
      <c r="P91" s="19">
        <v>100</v>
      </c>
      <c r="Q91" s="19">
        <f t="shared" si="57"/>
        <v>0</v>
      </c>
      <c r="R91" s="19"/>
      <c r="S91" s="19">
        <f t="shared" si="58"/>
        <v>89347</v>
      </c>
      <c r="T91" s="19">
        <f t="shared" si="59"/>
        <v>89347</v>
      </c>
      <c r="U91" s="20">
        <f t="shared" si="48"/>
        <v>100</v>
      </c>
      <c r="V91" s="19">
        <v>56982</v>
      </c>
      <c r="W91" s="19">
        <v>56982</v>
      </c>
      <c r="X91" s="187">
        <f t="shared" si="49"/>
        <v>100</v>
      </c>
      <c r="Y91" s="19">
        <v>32668</v>
      </c>
      <c r="Z91" s="20">
        <v>32668</v>
      </c>
      <c r="AA91" s="20">
        <f t="shared" si="50"/>
        <v>100</v>
      </c>
      <c r="AB91" s="20">
        <v>56679</v>
      </c>
      <c r="AC91" s="20">
        <v>56679</v>
      </c>
      <c r="AD91" s="20">
        <f t="shared" si="51"/>
        <v>100</v>
      </c>
      <c r="AE91" s="20">
        <f t="shared" si="52"/>
        <v>113661</v>
      </c>
      <c r="AF91" s="20">
        <f t="shared" si="53"/>
        <v>113661</v>
      </c>
      <c r="AG91" s="187">
        <f t="shared" si="54"/>
        <v>100</v>
      </c>
      <c r="AH91" s="59" t="s">
        <v>364</v>
      </c>
      <c r="AI91" s="19" t="s">
        <v>52</v>
      </c>
      <c r="AL91" s="1" t="str">
        <f t="shared" si="40"/>
        <v/>
      </c>
      <c r="AM91" s="26">
        <f t="shared" si="55"/>
        <v>0</v>
      </c>
      <c r="AN91" s="26"/>
      <c r="AO91" s="26"/>
      <c r="AP91" s="181" t="s">
        <v>52</v>
      </c>
      <c r="AQ91" s="159">
        <v>89347</v>
      </c>
      <c r="AR91" s="159">
        <v>89347</v>
      </c>
      <c r="AS91" s="151">
        <f t="shared" si="56"/>
        <v>100</v>
      </c>
      <c r="AU91" s="26">
        <f t="shared" si="41"/>
        <v>0</v>
      </c>
      <c r="AV91" s="26">
        <f t="shared" si="42"/>
        <v>0</v>
      </c>
      <c r="AW91" s="26">
        <f t="shared" si="43"/>
        <v>0</v>
      </c>
      <c r="AX91" s="1">
        <v>4</v>
      </c>
    </row>
    <row r="92" spans="1:50" s="1" customFormat="1" x14ac:dyDescent="0.25">
      <c r="A92" s="141" t="s">
        <v>153</v>
      </c>
      <c r="B92" s="8">
        <v>7170262</v>
      </c>
      <c r="C92" s="8">
        <v>0</v>
      </c>
      <c r="D92" s="10">
        <v>1</v>
      </c>
      <c r="E92" s="10">
        <v>1</v>
      </c>
      <c r="F92" s="10"/>
      <c r="G92" s="10">
        <f t="shared" si="44"/>
        <v>85188</v>
      </c>
      <c r="H92" s="19">
        <f t="shared" si="45"/>
        <v>85188</v>
      </c>
      <c r="I92" s="19">
        <v>420</v>
      </c>
      <c r="J92" s="19">
        <v>83683</v>
      </c>
      <c r="K92" s="29">
        <f t="shared" si="46"/>
        <v>1.7666807531577216</v>
      </c>
      <c r="L92" s="19" t="s">
        <v>58</v>
      </c>
      <c r="M92" s="23">
        <v>42705.681238425925</v>
      </c>
      <c r="N92" s="23"/>
      <c r="O92" s="179">
        <f t="shared" si="47"/>
        <v>100</v>
      </c>
      <c r="P92" s="19">
        <v>93.4</v>
      </c>
      <c r="Q92" s="19">
        <f t="shared" si="57"/>
        <v>7</v>
      </c>
      <c r="R92" s="19"/>
      <c r="S92" s="19">
        <f t="shared" si="58"/>
        <v>28632</v>
      </c>
      <c r="T92" s="19">
        <f t="shared" si="59"/>
        <v>28632</v>
      </c>
      <c r="U92" s="20">
        <f t="shared" si="48"/>
        <v>100</v>
      </c>
      <c r="V92" s="19">
        <v>56556</v>
      </c>
      <c r="W92" s="19">
        <v>56556</v>
      </c>
      <c r="X92" s="187">
        <f t="shared" si="49"/>
        <v>100</v>
      </c>
      <c r="Y92" s="19">
        <v>1600</v>
      </c>
      <c r="Z92" s="20">
        <v>1600</v>
      </c>
      <c r="AA92" s="20">
        <f t="shared" si="50"/>
        <v>100</v>
      </c>
      <c r="AB92" s="20">
        <v>27032</v>
      </c>
      <c r="AC92" s="20">
        <v>27032</v>
      </c>
      <c r="AD92" s="20">
        <f t="shared" si="51"/>
        <v>100</v>
      </c>
      <c r="AE92" s="20">
        <f t="shared" si="52"/>
        <v>83588</v>
      </c>
      <c r="AF92" s="20">
        <f t="shared" si="53"/>
        <v>83588</v>
      </c>
      <c r="AG92" s="187">
        <f t="shared" si="54"/>
        <v>100</v>
      </c>
      <c r="AH92" s="59" t="s">
        <v>381</v>
      </c>
      <c r="AI92" s="19" t="s">
        <v>447</v>
      </c>
      <c r="AJ92" s="1">
        <v>5</v>
      </c>
      <c r="AK92" s="1">
        <v>17</v>
      </c>
      <c r="AL92" s="1">
        <f t="shared" si="40"/>
        <v>85</v>
      </c>
      <c r="AM92" s="26">
        <f t="shared" si="55"/>
        <v>0</v>
      </c>
      <c r="AO92" s="26">
        <v>20.68</v>
      </c>
      <c r="AP92" s="181" t="s">
        <v>52</v>
      </c>
      <c r="AQ92" s="159">
        <v>12866</v>
      </c>
      <c r="AR92" s="159">
        <v>12866</v>
      </c>
      <c r="AS92" s="151">
        <f t="shared" si="56"/>
        <v>100</v>
      </c>
      <c r="AU92" s="26">
        <f t="shared" si="41"/>
        <v>15766</v>
      </c>
      <c r="AV92" s="26">
        <f t="shared" si="42"/>
        <v>15766</v>
      </c>
      <c r="AW92" s="26">
        <f t="shared" si="43"/>
        <v>0</v>
      </c>
      <c r="AX92" s="1">
        <v>2</v>
      </c>
    </row>
    <row r="93" spans="1:50" s="1" customFormat="1" x14ac:dyDescent="0.25">
      <c r="A93" s="141" t="s">
        <v>157</v>
      </c>
      <c r="B93" s="8">
        <v>7192995</v>
      </c>
      <c r="C93" s="8">
        <v>0</v>
      </c>
      <c r="D93" s="10">
        <v>1</v>
      </c>
      <c r="E93" s="10">
        <v>1</v>
      </c>
      <c r="F93" s="10"/>
      <c r="G93" s="10">
        <f t="shared" si="44"/>
        <v>100717</v>
      </c>
      <c r="H93" s="19">
        <f t="shared" si="45"/>
        <v>100717</v>
      </c>
      <c r="I93" s="19">
        <v>4496</v>
      </c>
      <c r="J93" s="19">
        <v>100822</v>
      </c>
      <c r="K93" s="29">
        <f t="shared" si="46"/>
        <v>-0.104252509506836</v>
      </c>
      <c r="L93" s="19" t="s">
        <v>58</v>
      </c>
      <c r="M93" s="23">
        <v>42089.450254629628</v>
      </c>
      <c r="N93" s="23"/>
      <c r="O93" s="179">
        <f t="shared" si="47"/>
        <v>100</v>
      </c>
      <c r="P93" s="19">
        <v>90</v>
      </c>
      <c r="Q93" s="19">
        <f t="shared" si="57"/>
        <v>10</v>
      </c>
      <c r="R93" s="19"/>
      <c r="S93" s="19">
        <f t="shared" si="58"/>
        <v>44590</v>
      </c>
      <c r="T93" s="19">
        <f t="shared" si="59"/>
        <v>44590</v>
      </c>
      <c r="U93" s="20">
        <f t="shared" si="48"/>
        <v>100</v>
      </c>
      <c r="V93" s="19">
        <v>56127</v>
      </c>
      <c r="W93" s="19">
        <v>56127</v>
      </c>
      <c r="X93" s="187">
        <f t="shared" si="49"/>
        <v>100</v>
      </c>
      <c r="Y93" s="19">
        <v>1929</v>
      </c>
      <c r="Z93" s="20">
        <v>1929</v>
      </c>
      <c r="AA93" s="20">
        <f t="shared" si="50"/>
        <v>100</v>
      </c>
      <c r="AB93" s="20">
        <v>42661</v>
      </c>
      <c r="AC93" s="20">
        <v>42661</v>
      </c>
      <c r="AD93" s="20">
        <f t="shared" si="51"/>
        <v>100</v>
      </c>
      <c r="AE93" s="20">
        <f t="shared" si="52"/>
        <v>98788</v>
      </c>
      <c r="AF93" s="20">
        <f t="shared" si="53"/>
        <v>98788</v>
      </c>
      <c r="AG93" s="187">
        <f t="shared" si="54"/>
        <v>100</v>
      </c>
      <c r="AH93" s="59" t="s">
        <v>375</v>
      </c>
      <c r="AI93" s="19" t="s">
        <v>52</v>
      </c>
      <c r="AJ93" s="1">
        <v>18</v>
      </c>
      <c r="AK93" s="1">
        <v>50</v>
      </c>
      <c r="AL93" s="1">
        <f t="shared" si="40"/>
        <v>900</v>
      </c>
      <c r="AM93" s="26">
        <f t="shared" si="55"/>
        <v>0</v>
      </c>
      <c r="AN93" s="26">
        <f>IF(AL93&gt;0,AM93/AL93,"")</f>
        <v>0</v>
      </c>
      <c r="AO93" s="26">
        <v>319.75423728813558</v>
      </c>
      <c r="AP93" s="181" t="s">
        <v>52</v>
      </c>
      <c r="AQ93" s="159">
        <v>44590</v>
      </c>
      <c r="AR93" s="159">
        <v>44590</v>
      </c>
      <c r="AS93" s="151">
        <f t="shared" si="56"/>
        <v>100</v>
      </c>
      <c r="AU93" s="26">
        <f t="shared" si="41"/>
        <v>0</v>
      </c>
      <c r="AV93" s="26">
        <f t="shared" si="42"/>
        <v>0</v>
      </c>
      <c r="AW93" s="26">
        <f t="shared" si="43"/>
        <v>0</v>
      </c>
      <c r="AX93" s="1">
        <v>1</v>
      </c>
    </row>
    <row r="94" spans="1:50" s="1" customFormat="1" x14ac:dyDescent="0.25">
      <c r="A94" s="173" t="s">
        <v>289</v>
      </c>
      <c r="B94" s="8">
        <v>8157111</v>
      </c>
      <c r="C94" s="8">
        <v>0</v>
      </c>
      <c r="D94" s="10">
        <v>1</v>
      </c>
      <c r="E94" s="10">
        <v>1</v>
      </c>
      <c r="F94" s="10"/>
      <c r="G94" s="10">
        <f t="shared" si="44"/>
        <v>115610</v>
      </c>
      <c r="H94" s="19">
        <f t="shared" si="45"/>
        <v>115610</v>
      </c>
      <c r="I94" s="19">
        <v>0</v>
      </c>
      <c r="J94" s="19">
        <v>113932</v>
      </c>
      <c r="K94" s="29">
        <f t="shared" si="46"/>
        <v>1.4514315370642679</v>
      </c>
      <c r="L94" s="19" t="s">
        <v>58</v>
      </c>
      <c r="M94" s="23">
        <v>42774.456180555557</v>
      </c>
      <c r="N94" s="23"/>
      <c r="O94" s="179">
        <f t="shared" si="47"/>
        <v>100</v>
      </c>
      <c r="P94" s="19">
        <v>98.5</v>
      </c>
      <c r="Q94" s="19">
        <f t="shared" si="57"/>
        <v>2</v>
      </c>
      <c r="R94" s="19"/>
      <c r="S94" s="19">
        <f t="shared" si="58"/>
        <v>60092</v>
      </c>
      <c r="T94" s="19">
        <f t="shared" si="59"/>
        <v>60092</v>
      </c>
      <c r="U94" s="20">
        <f t="shared" si="48"/>
        <v>100</v>
      </c>
      <c r="V94" s="19">
        <v>55518</v>
      </c>
      <c r="W94" s="19">
        <v>55518</v>
      </c>
      <c r="X94" s="187">
        <f t="shared" si="49"/>
        <v>100</v>
      </c>
      <c r="Y94" s="19">
        <v>12663</v>
      </c>
      <c r="Z94" s="20">
        <v>12663</v>
      </c>
      <c r="AA94" s="20">
        <f t="shared" si="50"/>
        <v>100</v>
      </c>
      <c r="AB94" s="20">
        <v>47429</v>
      </c>
      <c r="AC94" s="20">
        <v>47429</v>
      </c>
      <c r="AD94" s="20">
        <f t="shared" si="51"/>
        <v>100</v>
      </c>
      <c r="AE94" s="20">
        <f t="shared" si="52"/>
        <v>102947</v>
      </c>
      <c r="AF94" s="20">
        <f t="shared" si="53"/>
        <v>102947</v>
      </c>
      <c r="AG94" s="187">
        <f t="shared" si="54"/>
        <v>100</v>
      </c>
      <c r="AH94" s="59" t="s">
        <v>123</v>
      </c>
      <c r="AI94" s="19" t="s">
        <v>52</v>
      </c>
      <c r="AJ94" s="1">
        <v>10</v>
      </c>
      <c r="AK94" s="1">
        <v>60</v>
      </c>
      <c r="AL94" s="1">
        <f t="shared" si="40"/>
        <v>600</v>
      </c>
      <c r="AM94" s="26">
        <f t="shared" si="55"/>
        <v>0</v>
      </c>
      <c r="AN94" s="26">
        <f>IF(AL94&gt;0,AM94/AL94,"")</f>
        <v>0</v>
      </c>
      <c r="AO94" s="26">
        <v>16.012690355329948</v>
      </c>
      <c r="AP94" s="181" t="s">
        <v>52</v>
      </c>
      <c r="AQ94" s="159">
        <v>48048</v>
      </c>
      <c r="AR94" s="159">
        <v>48048</v>
      </c>
      <c r="AS94" s="151">
        <f t="shared" si="56"/>
        <v>100</v>
      </c>
      <c r="AU94" s="26">
        <f t="shared" si="41"/>
        <v>12044</v>
      </c>
      <c r="AV94" s="26">
        <f t="shared" si="42"/>
        <v>12044</v>
      </c>
      <c r="AW94" s="26">
        <f t="shared" si="43"/>
        <v>0</v>
      </c>
      <c r="AX94" s="1">
        <v>4</v>
      </c>
    </row>
    <row r="95" spans="1:50" s="1" customFormat="1" x14ac:dyDescent="0.25">
      <c r="A95" s="141" t="s">
        <v>132</v>
      </c>
      <c r="B95" s="8">
        <v>7163029</v>
      </c>
      <c r="C95" s="8">
        <v>0</v>
      </c>
      <c r="D95" s="10">
        <v>1</v>
      </c>
      <c r="E95" s="10">
        <v>1</v>
      </c>
      <c r="F95" s="10"/>
      <c r="G95" s="10">
        <f t="shared" si="44"/>
        <v>95849</v>
      </c>
      <c r="H95" s="19">
        <f t="shared" si="45"/>
        <v>95849</v>
      </c>
      <c r="I95" s="19">
        <v>3571</v>
      </c>
      <c r="J95" s="19">
        <v>97196</v>
      </c>
      <c r="K95" s="29">
        <f t="shared" si="46"/>
        <v>-1.4053354755918164</v>
      </c>
      <c r="L95" s="19" t="s">
        <v>58</v>
      </c>
      <c r="M95" s="23">
        <v>41691.506851851853</v>
      </c>
      <c r="N95" s="23">
        <v>41017</v>
      </c>
      <c r="O95" s="179">
        <f t="shared" si="47"/>
        <v>100</v>
      </c>
      <c r="P95" s="19">
        <v>99.5</v>
      </c>
      <c r="Q95" s="19">
        <f t="shared" si="57"/>
        <v>1</v>
      </c>
      <c r="R95" s="19"/>
      <c r="S95" s="19">
        <f t="shared" si="58"/>
        <v>41028</v>
      </c>
      <c r="T95" s="19">
        <f t="shared" si="59"/>
        <v>41028</v>
      </c>
      <c r="U95" s="20">
        <f t="shared" si="48"/>
        <v>100</v>
      </c>
      <c r="V95" s="19">
        <v>54821</v>
      </c>
      <c r="W95" s="19">
        <v>54821</v>
      </c>
      <c r="X95" s="187">
        <f t="shared" si="49"/>
        <v>100</v>
      </c>
      <c r="Y95" s="19">
        <v>8273</v>
      </c>
      <c r="Z95" s="20">
        <v>8273</v>
      </c>
      <c r="AA95" s="20">
        <f t="shared" si="50"/>
        <v>100</v>
      </c>
      <c r="AB95" s="20">
        <v>32755</v>
      </c>
      <c r="AC95" s="20">
        <v>32755</v>
      </c>
      <c r="AD95" s="20">
        <f t="shared" si="51"/>
        <v>100</v>
      </c>
      <c r="AE95" s="20">
        <f t="shared" si="52"/>
        <v>87576</v>
      </c>
      <c r="AF95" s="20">
        <f t="shared" si="53"/>
        <v>87576</v>
      </c>
      <c r="AG95" s="187">
        <f t="shared" si="54"/>
        <v>100</v>
      </c>
      <c r="AH95" s="59" t="s">
        <v>448</v>
      </c>
      <c r="AI95" s="19" t="s">
        <v>52</v>
      </c>
      <c r="AJ95" s="1">
        <v>11</v>
      </c>
      <c r="AK95" s="1">
        <v>31.48</v>
      </c>
      <c r="AL95" s="1">
        <f t="shared" ref="AL95:AL104" si="60">IF(AK95&gt;0,AK95*AJ95,"")</f>
        <v>346.28000000000003</v>
      </c>
      <c r="AM95" s="26">
        <f t="shared" si="55"/>
        <v>0</v>
      </c>
      <c r="AN95" s="26"/>
      <c r="AO95" s="26"/>
      <c r="AP95" s="181" t="s">
        <v>52</v>
      </c>
      <c r="AQ95" s="159">
        <v>36028</v>
      </c>
      <c r="AR95" s="159">
        <v>36028</v>
      </c>
      <c r="AS95" s="151">
        <f t="shared" si="56"/>
        <v>100</v>
      </c>
      <c r="AU95" s="26">
        <f t="shared" si="41"/>
        <v>5000</v>
      </c>
      <c r="AV95" s="26">
        <f t="shared" si="42"/>
        <v>5000</v>
      </c>
      <c r="AW95" s="26">
        <f t="shared" si="43"/>
        <v>0</v>
      </c>
      <c r="AX95" s="1">
        <v>2</v>
      </c>
    </row>
    <row r="96" spans="1:50" s="1" customFormat="1" x14ac:dyDescent="0.25">
      <c r="A96" s="141" t="s">
        <v>297</v>
      </c>
      <c r="B96" s="8">
        <v>7178476</v>
      </c>
      <c r="C96" s="8">
        <v>0</v>
      </c>
      <c r="D96" s="10">
        <v>1</v>
      </c>
      <c r="E96" s="10">
        <v>1</v>
      </c>
      <c r="F96" s="10"/>
      <c r="G96" s="10">
        <f t="shared" si="44"/>
        <v>77661</v>
      </c>
      <c r="H96" s="19">
        <f t="shared" si="45"/>
        <v>77661</v>
      </c>
      <c r="I96" s="19">
        <v>0</v>
      </c>
      <c r="J96" s="19">
        <v>77518</v>
      </c>
      <c r="K96" s="29">
        <f t="shared" si="46"/>
        <v>0.1841336063146238</v>
      </c>
      <c r="L96" s="19" t="s">
        <v>58</v>
      </c>
      <c r="M96" s="23">
        <v>42627.45585648148</v>
      </c>
      <c r="N96" s="23"/>
      <c r="O96" s="179">
        <f t="shared" si="47"/>
        <v>100</v>
      </c>
      <c r="P96" s="19">
        <v>100</v>
      </c>
      <c r="Q96" s="19">
        <f t="shared" si="57"/>
        <v>0</v>
      </c>
      <c r="R96" s="19"/>
      <c r="S96" s="19">
        <f t="shared" si="58"/>
        <v>23706</v>
      </c>
      <c r="T96" s="19">
        <f t="shared" si="59"/>
        <v>23706</v>
      </c>
      <c r="U96" s="20">
        <f t="shared" si="48"/>
        <v>100</v>
      </c>
      <c r="V96" s="19">
        <v>53955</v>
      </c>
      <c r="W96" s="19">
        <v>53955</v>
      </c>
      <c r="X96" s="187">
        <f t="shared" si="49"/>
        <v>100</v>
      </c>
      <c r="Y96" s="19">
        <v>509</v>
      </c>
      <c r="Z96" s="20">
        <v>509</v>
      </c>
      <c r="AA96" s="20">
        <f t="shared" si="50"/>
        <v>100</v>
      </c>
      <c r="AB96" s="20">
        <v>23197</v>
      </c>
      <c r="AC96" s="20">
        <v>23197</v>
      </c>
      <c r="AD96" s="20">
        <f t="shared" si="51"/>
        <v>100</v>
      </c>
      <c r="AE96" s="20">
        <f t="shared" si="52"/>
        <v>77152</v>
      </c>
      <c r="AF96" s="20">
        <f t="shared" si="53"/>
        <v>77152</v>
      </c>
      <c r="AG96" s="187">
        <f t="shared" si="54"/>
        <v>100</v>
      </c>
      <c r="AH96" s="59" t="s">
        <v>386</v>
      </c>
      <c r="AI96" s="19" t="s">
        <v>52</v>
      </c>
      <c r="AL96" s="1" t="str">
        <f t="shared" si="60"/>
        <v/>
      </c>
      <c r="AM96" s="26">
        <f t="shared" si="55"/>
        <v>0</v>
      </c>
      <c r="AN96" s="26"/>
      <c r="AO96" s="26"/>
      <c r="AP96" s="181" t="s">
        <v>52</v>
      </c>
      <c r="AQ96" s="159">
        <v>23706</v>
      </c>
      <c r="AR96" s="159">
        <v>23706</v>
      </c>
      <c r="AS96" s="151">
        <f t="shared" si="56"/>
        <v>100</v>
      </c>
      <c r="AU96" s="26">
        <f t="shared" si="41"/>
        <v>0</v>
      </c>
      <c r="AV96" s="26">
        <f t="shared" si="42"/>
        <v>0</v>
      </c>
      <c r="AW96" s="26">
        <f t="shared" si="43"/>
        <v>0</v>
      </c>
      <c r="AX96" s="1">
        <v>1</v>
      </c>
    </row>
    <row r="97" spans="1:50" s="1" customFormat="1" x14ac:dyDescent="0.25">
      <c r="A97" s="173" t="s">
        <v>199</v>
      </c>
      <c r="B97" s="8">
        <v>7183933</v>
      </c>
      <c r="C97" s="8">
        <v>0</v>
      </c>
      <c r="D97" s="10">
        <v>1</v>
      </c>
      <c r="E97" s="10">
        <v>1</v>
      </c>
      <c r="F97" s="10"/>
      <c r="G97" s="10">
        <f t="shared" si="44"/>
        <v>108284</v>
      </c>
      <c r="H97" s="19">
        <f t="shared" si="45"/>
        <v>108284</v>
      </c>
      <c r="I97" s="19">
        <v>2780</v>
      </c>
      <c r="J97" s="19">
        <v>90659</v>
      </c>
      <c r="K97" s="29">
        <f t="shared" si="46"/>
        <v>16.276642901998446</v>
      </c>
      <c r="L97" s="19" t="s">
        <v>58</v>
      </c>
      <c r="M97" s="23">
        <v>42775.640405092592</v>
      </c>
      <c r="N97" s="23"/>
      <c r="O97" s="179">
        <f t="shared" si="47"/>
        <v>100</v>
      </c>
      <c r="P97" s="19">
        <v>76.53</v>
      </c>
      <c r="Q97" s="19">
        <f t="shared" si="57"/>
        <v>23</v>
      </c>
      <c r="R97" s="19"/>
      <c r="S97" s="19">
        <f t="shared" si="58"/>
        <v>54376</v>
      </c>
      <c r="T97" s="19">
        <f t="shared" si="59"/>
        <v>54376</v>
      </c>
      <c r="U97" s="20">
        <f t="shared" si="48"/>
        <v>100</v>
      </c>
      <c r="V97" s="19">
        <v>53908</v>
      </c>
      <c r="W97" s="19">
        <v>53908</v>
      </c>
      <c r="X97" s="187">
        <f t="shared" si="49"/>
        <v>100</v>
      </c>
      <c r="Y97" s="20">
        <v>9247</v>
      </c>
      <c r="Z97" s="20">
        <v>9247</v>
      </c>
      <c r="AA97" s="20">
        <f t="shared" si="50"/>
        <v>100</v>
      </c>
      <c r="AB97" s="20">
        <v>45129</v>
      </c>
      <c r="AC97" s="20">
        <v>45129</v>
      </c>
      <c r="AD97" s="20">
        <f t="shared" si="51"/>
        <v>100</v>
      </c>
      <c r="AE97" s="20">
        <f t="shared" si="52"/>
        <v>99037</v>
      </c>
      <c r="AF97" s="20">
        <f t="shared" si="53"/>
        <v>99037</v>
      </c>
      <c r="AG97" s="187">
        <f t="shared" si="54"/>
        <v>100</v>
      </c>
      <c r="AH97" s="59" t="s">
        <v>511</v>
      </c>
      <c r="AI97" s="19" t="s">
        <v>449</v>
      </c>
      <c r="AJ97" s="1">
        <v>6</v>
      </c>
      <c r="AK97" s="1">
        <v>74</v>
      </c>
      <c r="AL97" s="1">
        <f t="shared" si="60"/>
        <v>444</v>
      </c>
      <c r="AM97" s="26">
        <f t="shared" si="55"/>
        <v>0</v>
      </c>
      <c r="AN97" s="26">
        <f>IF(AL97&gt;0,AM97/AL97,"")</f>
        <v>0</v>
      </c>
      <c r="AO97" s="26">
        <v>22.818820706205003</v>
      </c>
      <c r="AP97" s="181">
        <v>43175</v>
      </c>
      <c r="AQ97" s="159">
        <v>41195</v>
      </c>
      <c r="AR97" s="159">
        <v>37413</v>
      </c>
      <c r="AS97" s="151">
        <f t="shared" si="56"/>
        <v>90.819274183760172</v>
      </c>
      <c r="AU97" s="26">
        <f t="shared" si="41"/>
        <v>13181</v>
      </c>
      <c r="AV97" s="26">
        <f t="shared" si="42"/>
        <v>16963</v>
      </c>
      <c r="AW97" s="26">
        <f t="shared" si="43"/>
        <v>9.1807258162398284</v>
      </c>
      <c r="AX97" s="1">
        <v>4</v>
      </c>
    </row>
    <row r="98" spans="1:50" s="1" customFormat="1" x14ac:dyDescent="0.25">
      <c r="A98" s="141" t="s">
        <v>127</v>
      </c>
      <c r="B98" s="8">
        <v>7195133</v>
      </c>
      <c r="C98" s="8">
        <v>0</v>
      </c>
      <c r="D98" s="10">
        <v>1</v>
      </c>
      <c r="E98" s="10">
        <v>1</v>
      </c>
      <c r="F98" s="10"/>
      <c r="G98" s="10">
        <f t="shared" si="44"/>
        <v>80614</v>
      </c>
      <c r="H98" s="19">
        <f t="shared" si="45"/>
        <v>80614</v>
      </c>
      <c r="I98" s="19">
        <v>479</v>
      </c>
      <c r="J98" s="19">
        <v>73536</v>
      </c>
      <c r="K98" s="29">
        <f t="shared" si="46"/>
        <v>8.7801126355223662</v>
      </c>
      <c r="L98" s="19" t="s">
        <v>58</v>
      </c>
      <c r="M98" s="23"/>
      <c r="N98" s="23" t="s">
        <v>67</v>
      </c>
      <c r="O98" s="179">
        <f t="shared" si="47"/>
        <v>100</v>
      </c>
      <c r="P98" s="19">
        <v>90.83</v>
      </c>
      <c r="Q98" s="19">
        <f t="shared" si="57"/>
        <v>9</v>
      </c>
      <c r="R98" s="19"/>
      <c r="S98" s="19">
        <f t="shared" si="58"/>
        <v>26775</v>
      </c>
      <c r="T98" s="19">
        <f t="shared" si="59"/>
        <v>26775</v>
      </c>
      <c r="U98" s="20">
        <f t="shared" si="48"/>
        <v>100</v>
      </c>
      <c r="V98" s="19">
        <v>53839</v>
      </c>
      <c r="W98" s="19">
        <v>53839</v>
      </c>
      <c r="X98" s="187">
        <f t="shared" si="49"/>
        <v>100</v>
      </c>
      <c r="Y98" s="19">
        <v>4191</v>
      </c>
      <c r="Z98" s="20">
        <v>4191</v>
      </c>
      <c r="AA98" s="20">
        <f t="shared" si="50"/>
        <v>100</v>
      </c>
      <c r="AB98" s="20">
        <v>22584</v>
      </c>
      <c r="AC98" s="20">
        <v>22584</v>
      </c>
      <c r="AD98" s="20">
        <f t="shared" si="51"/>
        <v>100</v>
      </c>
      <c r="AE98" s="20">
        <f t="shared" si="52"/>
        <v>76423</v>
      </c>
      <c r="AF98" s="20">
        <f t="shared" si="53"/>
        <v>76423</v>
      </c>
      <c r="AG98" s="187">
        <f t="shared" si="54"/>
        <v>100</v>
      </c>
      <c r="AH98" s="59" t="s">
        <v>385</v>
      </c>
      <c r="AI98" s="19" t="s">
        <v>51</v>
      </c>
      <c r="AJ98" s="1">
        <v>2</v>
      </c>
      <c r="AK98" s="1">
        <v>50</v>
      </c>
      <c r="AL98" s="1">
        <f t="shared" si="60"/>
        <v>100</v>
      </c>
      <c r="AM98" s="26">
        <f t="shared" si="55"/>
        <v>0</v>
      </c>
      <c r="AN98" s="26"/>
      <c r="AO98" s="26"/>
      <c r="AP98" s="181" t="s">
        <v>52</v>
      </c>
      <c r="AQ98" s="159">
        <v>26775</v>
      </c>
      <c r="AR98" s="159">
        <v>26775</v>
      </c>
      <c r="AS98" s="151">
        <f t="shared" si="56"/>
        <v>100</v>
      </c>
      <c r="AU98" s="26">
        <f t="shared" ref="AU98:AU129" si="61">S98-AQ98</f>
        <v>0</v>
      </c>
      <c r="AV98" s="26">
        <f t="shared" ref="AV98:AV129" si="62">T98-AR98</f>
        <v>0</v>
      </c>
      <c r="AW98" s="26">
        <f t="shared" ref="AW98:AW129" si="63">U98-AS98</f>
        <v>0</v>
      </c>
      <c r="AX98" s="1">
        <v>1</v>
      </c>
    </row>
    <row r="99" spans="1:50" s="1" customFormat="1" x14ac:dyDescent="0.25">
      <c r="A99" s="141" t="s">
        <v>177</v>
      </c>
      <c r="B99" s="8">
        <v>7158122</v>
      </c>
      <c r="C99" s="8">
        <v>0</v>
      </c>
      <c r="D99" s="10">
        <v>1</v>
      </c>
      <c r="E99" s="10">
        <v>1</v>
      </c>
      <c r="F99" s="10"/>
      <c r="G99" s="10">
        <f t="shared" si="44"/>
        <v>101546</v>
      </c>
      <c r="H99" s="19">
        <f t="shared" si="45"/>
        <v>101546</v>
      </c>
      <c r="I99" s="19">
        <v>0</v>
      </c>
      <c r="J99" s="19">
        <v>87654</v>
      </c>
      <c r="K99" s="29">
        <f t="shared" si="46"/>
        <v>13.680499478069052</v>
      </c>
      <c r="L99" s="19" t="s">
        <v>58</v>
      </c>
      <c r="M99" s="23"/>
      <c r="N99" s="23">
        <v>41606</v>
      </c>
      <c r="O99" s="179">
        <f t="shared" si="47"/>
        <v>100</v>
      </c>
      <c r="P99" s="19">
        <v>100</v>
      </c>
      <c r="Q99" s="19">
        <f t="shared" si="57"/>
        <v>0</v>
      </c>
      <c r="R99" s="19"/>
      <c r="S99" s="19">
        <f t="shared" si="58"/>
        <v>48252</v>
      </c>
      <c r="T99" s="19">
        <f t="shared" si="59"/>
        <v>48252</v>
      </c>
      <c r="U99" s="20">
        <f t="shared" si="48"/>
        <v>100</v>
      </c>
      <c r="V99" s="19">
        <v>53294</v>
      </c>
      <c r="W99" s="19">
        <v>53294</v>
      </c>
      <c r="X99" s="187">
        <f t="shared" si="49"/>
        <v>100</v>
      </c>
      <c r="Y99" s="20">
        <v>9669</v>
      </c>
      <c r="Z99" s="20">
        <v>9669</v>
      </c>
      <c r="AA99" s="20">
        <f t="shared" si="50"/>
        <v>100</v>
      </c>
      <c r="AB99" s="20">
        <v>38583</v>
      </c>
      <c r="AC99" s="20">
        <v>38583</v>
      </c>
      <c r="AD99" s="20">
        <f t="shared" si="51"/>
        <v>100</v>
      </c>
      <c r="AE99" s="20">
        <f t="shared" si="52"/>
        <v>91877</v>
      </c>
      <c r="AF99" s="20">
        <f t="shared" si="53"/>
        <v>91877</v>
      </c>
      <c r="AG99" s="187">
        <f t="shared" si="54"/>
        <v>100</v>
      </c>
      <c r="AH99" s="59" t="s">
        <v>500</v>
      </c>
      <c r="AI99" s="19" t="s">
        <v>51</v>
      </c>
      <c r="AL99" s="1" t="str">
        <f t="shared" si="60"/>
        <v/>
      </c>
      <c r="AM99" s="26">
        <f t="shared" si="55"/>
        <v>0</v>
      </c>
      <c r="AN99" s="26" t="e">
        <f>IF(AL99&gt;0,AM99/AL99,"")</f>
        <v>#VALUE!</v>
      </c>
      <c r="AO99" s="26">
        <v>244.92797202797203</v>
      </c>
      <c r="AP99" s="181">
        <v>43462</v>
      </c>
      <c r="AQ99" s="159">
        <v>38583</v>
      </c>
      <c r="AR99" s="159">
        <v>14412</v>
      </c>
      <c r="AS99" s="151">
        <f t="shared" si="56"/>
        <v>37.353238472902575</v>
      </c>
      <c r="AU99" s="26">
        <f t="shared" si="61"/>
        <v>9669</v>
      </c>
      <c r="AV99" s="26">
        <f t="shared" si="62"/>
        <v>33840</v>
      </c>
      <c r="AW99" s="26">
        <f t="shared" si="63"/>
        <v>62.646761527097425</v>
      </c>
      <c r="AX99" s="1">
        <v>1</v>
      </c>
    </row>
    <row r="100" spans="1:50" s="1" customFormat="1" x14ac:dyDescent="0.25">
      <c r="A100" s="173" t="s">
        <v>140</v>
      </c>
      <c r="B100" s="8">
        <v>8030723</v>
      </c>
      <c r="C100" s="8">
        <v>0</v>
      </c>
      <c r="D100" s="10">
        <v>1</v>
      </c>
      <c r="E100" s="10">
        <v>1</v>
      </c>
      <c r="F100" s="10"/>
      <c r="G100" s="10">
        <f t="shared" ref="G100:G131" si="64">SUM(S100,V100)</f>
        <v>125151</v>
      </c>
      <c r="H100" s="19">
        <f t="shared" ref="H100:H131" si="65">SUM(T100,W100)</f>
        <v>125151</v>
      </c>
      <c r="I100" s="19">
        <v>4404</v>
      </c>
      <c r="J100" s="19">
        <v>123589</v>
      </c>
      <c r="K100" s="29">
        <f t="shared" ref="K100:K131" si="66">(H100-J100)/H100*100</f>
        <v>1.2480923044961687</v>
      </c>
      <c r="L100" s="19" t="s">
        <v>58</v>
      </c>
      <c r="M100" s="23">
        <v>42776.31454861111</v>
      </c>
      <c r="N100" s="23"/>
      <c r="O100" s="179">
        <f t="shared" ref="O100:O131" si="67">IFERROR(100*H100/G100,"")</f>
        <v>100</v>
      </c>
      <c r="P100" s="19">
        <v>68.930000000000007</v>
      </c>
      <c r="Q100" s="19">
        <f t="shared" si="57"/>
        <v>31</v>
      </c>
      <c r="R100" s="19"/>
      <c r="S100" s="19">
        <f t="shared" si="58"/>
        <v>72688</v>
      </c>
      <c r="T100" s="19">
        <f t="shared" si="59"/>
        <v>72688</v>
      </c>
      <c r="U100" s="20">
        <f t="shared" ref="U100:U131" si="68">IFERROR(T100/S100*100,"")</f>
        <v>100</v>
      </c>
      <c r="V100" s="19">
        <v>52463</v>
      </c>
      <c r="W100" s="19">
        <v>52463</v>
      </c>
      <c r="X100" s="187">
        <f t="shared" ref="X100:X131" si="69">IFERROR(W100/V100*100,"")</f>
        <v>100</v>
      </c>
      <c r="Y100" s="20">
        <v>18669</v>
      </c>
      <c r="Z100" s="20">
        <v>18669</v>
      </c>
      <c r="AA100" s="20">
        <f t="shared" ref="AA100:AA131" si="70">IFERROR(Z100/Y100*100,"")</f>
        <v>100</v>
      </c>
      <c r="AB100" s="20">
        <v>54019</v>
      </c>
      <c r="AC100" s="20">
        <v>54019</v>
      </c>
      <c r="AD100" s="20">
        <f t="shared" ref="AD100:AD131" si="71">IFERROR(AC100/AB100*100,"")</f>
        <v>100</v>
      </c>
      <c r="AE100" s="20">
        <f t="shared" ref="AE100:AE131" si="72">AB100+V100</f>
        <v>106482</v>
      </c>
      <c r="AF100" s="20">
        <f t="shared" ref="AF100:AF131" si="73">AC100+W100</f>
        <v>106482</v>
      </c>
      <c r="AG100" s="187">
        <f t="shared" ref="AG100:AG131" si="74">IFERROR(AF100/AE100*100,"")</f>
        <v>100</v>
      </c>
      <c r="AH100" s="59">
        <v>0</v>
      </c>
      <c r="AI100" s="19" t="s">
        <v>52</v>
      </c>
      <c r="AJ100" s="1">
        <v>20</v>
      </c>
      <c r="AK100" s="1">
        <v>30</v>
      </c>
      <c r="AL100" s="1">
        <f t="shared" si="60"/>
        <v>600</v>
      </c>
      <c r="AM100" s="26">
        <f t="shared" ref="AM100:AM131" si="75">G100-H100</f>
        <v>0</v>
      </c>
      <c r="AN100" s="26">
        <f>IF(AL100&gt;0,AM100/AL100,"")</f>
        <v>0</v>
      </c>
      <c r="AO100" s="26">
        <v>11.107758620689655</v>
      </c>
      <c r="AP100" s="181" t="s">
        <v>52</v>
      </c>
      <c r="AQ100" s="159">
        <v>74582</v>
      </c>
      <c r="AR100" s="159">
        <v>69819</v>
      </c>
      <c r="AS100" s="151">
        <f t="shared" ref="AS100:AS131" si="76">IFERROR(AR100/AQ100*100,"")</f>
        <v>93.613740580837202</v>
      </c>
      <c r="AU100" s="26">
        <f t="shared" si="61"/>
        <v>-1894</v>
      </c>
      <c r="AV100" s="26">
        <f t="shared" si="62"/>
        <v>2869</v>
      </c>
      <c r="AW100" s="26">
        <f t="shared" si="63"/>
        <v>6.3862594191627977</v>
      </c>
      <c r="AX100" s="1">
        <v>4</v>
      </c>
    </row>
    <row r="101" spans="1:50" s="1" customFormat="1" x14ac:dyDescent="0.25">
      <c r="A101" s="141" t="s">
        <v>133</v>
      </c>
      <c r="B101" s="8">
        <v>7222483</v>
      </c>
      <c r="C101" s="8">
        <v>0</v>
      </c>
      <c r="D101" s="10">
        <v>1</v>
      </c>
      <c r="E101" s="10">
        <v>1</v>
      </c>
      <c r="F101" s="10"/>
      <c r="G101" s="10">
        <f t="shared" si="64"/>
        <v>95982</v>
      </c>
      <c r="H101" s="19">
        <f t="shared" si="65"/>
        <v>95982</v>
      </c>
      <c r="I101" s="19">
        <v>6089</v>
      </c>
      <c r="J101" s="19">
        <v>96130</v>
      </c>
      <c r="K101" s="29">
        <f t="shared" si="66"/>
        <v>-0.15419557833760497</v>
      </c>
      <c r="L101" s="19" t="s">
        <v>58</v>
      </c>
      <c r="M101" s="23"/>
      <c r="N101" s="23">
        <v>42564</v>
      </c>
      <c r="O101" s="179">
        <f t="shared" si="67"/>
        <v>100</v>
      </c>
      <c r="P101" s="19">
        <v>55.05</v>
      </c>
      <c r="Q101" s="19">
        <f t="shared" ref="Q101:Q104" si="77">ROUND(O101-P101,0)</f>
        <v>45</v>
      </c>
      <c r="R101" s="19"/>
      <c r="S101" s="19">
        <f t="shared" si="58"/>
        <v>44895</v>
      </c>
      <c r="T101" s="19">
        <f t="shared" si="59"/>
        <v>44895</v>
      </c>
      <c r="U101" s="20">
        <f t="shared" si="68"/>
        <v>100</v>
      </c>
      <c r="V101" s="19">
        <v>51087</v>
      </c>
      <c r="W101" s="19">
        <v>51087</v>
      </c>
      <c r="X101" s="187">
        <f t="shared" si="69"/>
        <v>100</v>
      </c>
      <c r="Y101" s="19">
        <v>9075</v>
      </c>
      <c r="Z101" s="20">
        <v>9075</v>
      </c>
      <c r="AA101" s="20">
        <f t="shared" si="70"/>
        <v>100</v>
      </c>
      <c r="AB101" s="20">
        <v>35820</v>
      </c>
      <c r="AC101" s="20">
        <v>35820</v>
      </c>
      <c r="AD101" s="20">
        <f t="shared" si="71"/>
        <v>100</v>
      </c>
      <c r="AE101" s="20">
        <f t="shared" si="72"/>
        <v>86907</v>
      </c>
      <c r="AF101" s="20">
        <f t="shared" si="73"/>
        <v>86907</v>
      </c>
      <c r="AG101" s="187">
        <f t="shared" si="74"/>
        <v>100</v>
      </c>
      <c r="AH101" s="59" t="s">
        <v>378</v>
      </c>
      <c r="AI101" s="19" t="s">
        <v>503</v>
      </c>
      <c r="AJ101" s="1">
        <v>35</v>
      </c>
      <c r="AK101" s="1">
        <v>32</v>
      </c>
      <c r="AL101" s="1">
        <f t="shared" si="60"/>
        <v>1120</v>
      </c>
      <c r="AM101" s="26">
        <f t="shared" si="75"/>
        <v>0</v>
      </c>
      <c r="AN101" s="26"/>
      <c r="AO101" s="26"/>
      <c r="AP101" s="181" t="s">
        <v>52</v>
      </c>
      <c r="AQ101" s="159">
        <v>44851</v>
      </c>
      <c r="AR101" s="159">
        <v>44851</v>
      </c>
      <c r="AS101" s="151">
        <f t="shared" si="76"/>
        <v>100</v>
      </c>
      <c r="AU101" s="26">
        <f t="shared" si="61"/>
        <v>44</v>
      </c>
      <c r="AV101" s="26">
        <f t="shared" si="62"/>
        <v>44</v>
      </c>
      <c r="AW101" s="26">
        <f t="shared" si="63"/>
        <v>0</v>
      </c>
      <c r="AX101" s="1">
        <v>2</v>
      </c>
    </row>
    <row r="102" spans="1:50" s="1" customFormat="1" x14ac:dyDescent="0.25">
      <c r="A102" s="141" t="s">
        <v>160</v>
      </c>
      <c r="B102" s="8">
        <v>71753</v>
      </c>
      <c r="C102" s="8">
        <v>0</v>
      </c>
      <c r="D102" s="10">
        <v>1</v>
      </c>
      <c r="E102" s="10">
        <v>1</v>
      </c>
      <c r="F102" s="10"/>
      <c r="G102" s="10">
        <f t="shared" si="64"/>
        <v>124910</v>
      </c>
      <c r="H102" s="19">
        <f t="shared" si="65"/>
        <v>124910</v>
      </c>
      <c r="I102" s="19">
        <v>-8987</v>
      </c>
      <c r="J102" s="19">
        <v>55844</v>
      </c>
      <c r="K102" s="29">
        <f t="shared" si="66"/>
        <v>55.292610679689382</v>
      </c>
      <c r="L102" s="19" t="s">
        <v>58</v>
      </c>
      <c r="M102" s="23"/>
      <c r="N102" s="23"/>
      <c r="O102" s="179">
        <f t="shared" si="67"/>
        <v>100</v>
      </c>
      <c r="P102" s="19">
        <v>100</v>
      </c>
      <c r="Q102" s="19">
        <f t="shared" si="77"/>
        <v>0</v>
      </c>
      <c r="R102" s="19"/>
      <c r="S102" s="19">
        <f t="shared" si="58"/>
        <v>74935</v>
      </c>
      <c r="T102" s="19">
        <f t="shared" si="59"/>
        <v>74935</v>
      </c>
      <c r="U102" s="20">
        <f t="shared" si="68"/>
        <v>100</v>
      </c>
      <c r="V102" s="19">
        <v>49975</v>
      </c>
      <c r="W102" s="19">
        <v>49975</v>
      </c>
      <c r="X102" s="187">
        <f t="shared" si="69"/>
        <v>100</v>
      </c>
      <c r="Y102" s="20">
        <v>13477</v>
      </c>
      <c r="Z102" s="20">
        <v>13477</v>
      </c>
      <c r="AA102" s="20">
        <f t="shared" si="70"/>
        <v>100</v>
      </c>
      <c r="AB102" s="20">
        <v>61458</v>
      </c>
      <c r="AC102" s="20">
        <v>61458</v>
      </c>
      <c r="AD102" s="20">
        <f t="shared" si="71"/>
        <v>100</v>
      </c>
      <c r="AE102" s="20">
        <f t="shared" si="72"/>
        <v>111433</v>
      </c>
      <c r="AF102" s="20">
        <f t="shared" si="73"/>
        <v>111433</v>
      </c>
      <c r="AG102" s="187">
        <f t="shared" si="74"/>
        <v>100</v>
      </c>
      <c r="AH102" s="59" t="s">
        <v>524</v>
      </c>
      <c r="AI102" s="19" t="s">
        <v>555</v>
      </c>
      <c r="AL102" s="1" t="str">
        <f t="shared" si="60"/>
        <v/>
      </c>
      <c r="AM102" s="26">
        <f t="shared" si="75"/>
        <v>0</v>
      </c>
      <c r="AN102" s="26"/>
      <c r="AO102" s="26"/>
      <c r="AP102" s="181">
        <v>44012</v>
      </c>
      <c r="AQ102" s="159">
        <v>54992</v>
      </c>
      <c r="AR102" s="159">
        <v>9690</v>
      </c>
      <c r="AS102" s="151">
        <f t="shared" si="76"/>
        <v>17.620744835612452</v>
      </c>
      <c r="AU102" s="26">
        <f t="shared" si="61"/>
        <v>19943</v>
      </c>
      <c r="AV102" s="26">
        <f t="shared" si="62"/>
        <v>65245</v>
      </c>
      <c r="AW102" s="26">
        <f t="shared" si="63"/>
        <v>82.379255164387544</v>
      </c>
      <c r="AX102" s="1">
        <v>1</v>
      </c>
    </row>
    <row r="103" spans="1:50" s="1" customFormat="1" ht="15" customHeight="1" x14ac:dyDescent="0.25">
      <c r="A103" s="141" t="s">
        <v>130</v>
      </c>
      <c r="B103" s="8">
        <v>7193114</v>
      </c>
      <c r="C103" s="8">
        <v>0</v>
      </c>
      <c r="D103" s="10">
        <v>1</v>
      </c>
      <c r="E103" s="10">
        <v>1</v>
      </c>
      <c r="F103" s="10"/>
      <c r="G103" s="10">
        <f t="shared" si="64"/>
        <v>71579</v>
      </c>
      <c r="H103" s="19">
        <f t="shared" si="65"/>
        <v>71579</v>
      </c>
      <c r="I103" s="19">
        <v>494</v>
      </c>
      <c r="J103" s="19">
        <v>66361</v>
      </c>
      <c r="K103" s="29">
        <f t="shared" si="66"/>
        <v>7.2898475809944259</v>
      </c>
      <c r="L103" s="19" t="s">
        <v>58</v>
      </c>
      <c r="M103" s="23"/>
      <c r="N103" s="23" t="s">
        <v>69</v>
      </c>
      <c r="O103" s="179">
        <f t="shared" si="67"/>
        <v>100</v>
      </c>
      <c r="P103" s="19">
        <v>96</v>
      </c>
      <c r="Q103" s="19">
        <f t="shared" si="77"/>
        <v>4</v>
      </c>
      <c r="R103" s="19"/>
      <c r="S103" s="19">
        <f t="shared" si="58"/>
        <v>25306</v>
      </c>
      <c r="T103" s="19">
        <f t="shared" si="59"/>
        <v>25306</v>
      </c>
      <c r="U103" s="20">
        <f t="shared" si="68"/>
        <v>100</v>
      </c>
      <c r="V103" s="19">
        <v>46273</v>
      </c>
      <c r="W103" s="19">
        <v>46273</v>
      </c>
      <c r="X103" s="187">
        <f t="shared" si="69"/>
        <v>100</v>
      </c>
      <c r="Y103" s="19">
        <v>4820</v>
      </c>
      <c r="Z103" s="20">
        <v>4820</v>
      </c>
      <c r="AA103" s="20">
        <f t="shared" si="70"/>
        <v>100</v>
      </c>
      <c r="AB103" s="20">
        <v>20486</v>
      </c>
      <c r="AC103" s="20">
        <v>20486</v>
      </c>
      <c r="AD103" s="20">
        <f t="shared" si="71"/>
        <v>100</v>
      </c>
      <c r="AE103" s="20">
        <f t="shared" si="72"/>
        <v>66759</v>
      </c>
      <c r="AF103" s="20">
        <f t="shared" si="73"/>
        <v>66759</v>
      </c>
      <c r="AG103" s="187">
        <f t="shared" si="74"/>
        <v>100</v>
      </c>
      <c r="AH103" s="59" t="s">
        <v>393</v>
      </c>
      <c r="AI103" s="19" t="s">
        <v>549</v>
      </c>
      <c r="AJ103" s="1">
        <v>4</v>
      </c>
      <c r="AK103" s="1">
        <v>80</v>
      </c>
      <c r="AL103" s="1">
        <f t="shared" si="60"/>
        <v>320</v>
      </c>
      <c r="AM103" s="26">
        <f t="shared" si="75"/>
        <v>0</v>
      </c>
      <c r="AN103" s="26">
        <f>IF(AL103&gt;0,AM103/AL103,"")</f>
        <v>0</v>
      </c>
      <c r="AO103" s="26">
        <v>14.622194513715712</v>
      </c>
      <c r="AP103" s="181" t="s">
        <v>52</v>
      </c>
      <c r="AQ103" s="159">
        <v>19305</v>
      </c>
      <c r="AR103" s="159">
        <v>19305</v>
      </c>
      <c r="AS103" s="151">
        <f t="shared" si="76"/>
        <v>100</v>
      </c>
      <c r="AU103" s="26">
        <f t="shared" si="61"/>
        <v>6001</v>
      </c>
      <c r="AV103" s="26">
        <f t="shared" si="62"/>
        <v>6001</v>
      </c>
      <c r="AW103" s="26">
        <f t="shared" si="63"/>
        <v>0</v>
      </c>
      <c r="AX103" s="1">
        <v>1</v>
      </c>
    </row>
    <row r="104" spans="1:50" s="1" customFormat="1" x14ac:dyDescent="0.25">
      <c r="A104" s="141" t="s">
        <v>300</v>
      </c>
      <c r="B104" s="8">
        <v>70297</v>
      </c>
      <c r="C104" s="8">
        <v>0</v>
      </c>
      <c r="D104" s="10">
        <v>1</v>
      </c>
      <c r="E104" s="10">
        <v>1</v>
      </c>
      <c r="F104" s="10"/>
      <c r="G104" s="10">
        <f t="shared" si="64"/>
        <v>75496</v>
      </c>
      <c r="H104" s="19">
        <f t="shared" si="65"/>
        <v>75496</v>
      </c>
      <c r="I104" s="19">
        <v>0</v>
      </c>
      <c r="J104" s="19">
        <v>75525</v>
      </c>
      <c r="K104" s="29">
        <f t="shared" si="66"/>
        <v>-3.8412631132775245E-2</v>
      </c>
      <c r="L104" s="19" t="s">
        <v>58</v>
      </c>
      <c r="M104" s="23">
        <v>42705.614050925928</v>
      </c>
      <c r="N104" s="23"/>
      <c r="O104" s="179">
        <f t="shared" si="67"/>
        <v>100</v>
      </c>
      <c r="P104" s="19">
        <v>100</v>
      </c>
      <c r="Q104" s="19">
        <f t="shared" si="77"/>
        <v>0</v>
      </c>
      <c r="R104" s="19"/>
      <c r="S104" s="19">
        <f t="shared" si="58"/>
        <v>29569</v>
      </c>
      <c r="T104" s="19">
        <f t="shared" si="59"/>
        <v>29569</v>
      </c>
      <c r="U104" s="20">
        <f t="shared" si="68"/>
        <v>100</v>
      </c>
      <c r="V104" s="19">
        <v>45927</v>
      </c>
      <c r="W104" s="19">
        <v>45927</v>
      </c>
      <c r="X104" s="187">
        <f t="shared" si="69"/>
        <v>100</v>
      </c>
      <c r="Y104" s="19">
        <v>3685</v>
      </c>
      <c r="Z104" s="20">
        <v>3685</v>
      </c>
      <c r="AA104" s="20">
        <f t="shared" si="70"/>
        <v>100</v>
      </c>
      <c r="AB104" s="20">
        <v>25884</v>
      </c>
      <c r="AC104" s="20">
        <v>25884</v>
      </c>
      <c r="AD104" s="20">
        <f t="shared" si="71"/>
        <v>100</v>
      </c>
      <c r="AE104" s="20">
        <f t="shared" si="72"/>
        <v>71811</v>
      </c>
      <c r="AF104" s="20">
        <f t="shared" si="73"/>
        <v>71811</v>
      </c>
      <c r="AG104" s="187">
        <f t="shared" si="74"/>
        <v>100</v>
      </c>
      <c r="AH104" s="59" t="s">
        <v>389</v>
      </c>
      <c r="AI104" s="19" t="s">
        <v>52</v>
      </c>
      <c r="AL104" s="1" t="str">
        <f t="shared" si="60"/>
        <v/>
      </c>
      <c r="AM104" s="26">
        <f t="shared" si="75"/>
        <v>0</v>
      </c>
      <c r="AN104" s="26" t="e">
        <f>IF(AL104&gt;0,AM104/AL104,"")</f>
        <v>#VALUE!</v>
      </c>
      <c r="AO104" s="26">
        <v>6.6733067729083668</v>
      </c>
      <c r="AP104" s="181" t="s">
        <v>52</v>
      </c>
      <c r="AQ104" s="159">
        <v>28075</v>
      </c>
      <c r="AR104" s="159">
        <v>28075</v>
      </c>
      <c r="AS104" s="151">
        <f t="shared" si="76"/>
        <v>100</v>
      </c>
      <c r="AU104" s="26">
        <f t="shared" si="61"/>
        <v>1494</v>
      </c>
      <c r="AV104" s="26">
        <f t="shared" si="62"/>
        <v>1494</v>
      </c>
      <c r="AW104" s="26">
        <f t="shared" si="63"/>
        <v>0</v>
      </c>
      <c r="AX104" s="1">
        <v>1</v>
      </c>
    </row>
    <row r="105" spans="1:50" s="1" customFormat="1" ht="15.75" customHeight="1" x14ac:dyDescent="0.25">
      <c r="A105" s="142" t="s">
        <v>91</v>
      </c>
      <c r="B105" t="s">
        <v>242</v>
      </c>
      <c r="C105" s="8">
        <v>1</v>
      </c>
      <c r="D105" s="10">
        <v>1</v>
      </c>
      <c r="E105" s="13">
        <v>1</v>
      </c>
      <c r="F105"/>
      <c r="G105" s="10">
        <f t="shared" si="64"/>
        <v>49056</v>
      </c>
      <c r="H105" s="19">
        <f t="shared" si="65"/>
        <v>49056</v>
      </c>
      <c r="I105" s="19">
        <v>17</v>
      </c>
      <c r="J105" s="19">
        <v>1523</v>
      </c>
      <c r="K105" s="29">
        <f t="shared" si="66"/>
        <v>96.895384866275279</v>
      </c>
      <c r="L105" s="19" t="s">
        <v>58</v>
      </c>
      <c r="M105" s="13"/>
      <c r="N105" s="13"/>
      <c r="O105" s="179">
        <f t="shared" si="67"/>
        <v>100</v>
      </c>
      <c r="P105"/>
      <c r="Q105"/>
      <c r="R105" s="19"/>
      <c r="S105" s="19">
        <f t="shared" si="58"/>
        <v>3500</v>
      </c>
      <c r="T105" s="19">
        <f t="shared" si="59"/>
        <v>3500</v>
      </c>
      <c r="U105" s="20">
        <f t="shared" si="68"/>
        <v>100</v>
      </c>
      <c r="V105" s="19">
        <v>45556</v>
      </c>
      <c r="W105">
        <v>45556</v>
      </c>
      <c r="X105" s="20">
        <f t="shared" si="69"/>
        <v>100</v>
      </c>
      <c r="Y105" s="20">
        <v>0</v>
      </c>
      <c r="Z105" s="20">
        <v>0</v>
      </c>
      <c r="AA105" s="20" t="str">
        <f t="shared" si="70"/>
        <v/>
      </c>
      <c r="AB105" s="20">
        <v>3500</v>
      </c>
      <c r="AC105" s="20">
        <v>3500</v>
      </c>
      <c r="AD105" s="20">
        <f t="shared" si="71"/>
        <v>100</v>
      </c>
      <c r="AE105" s="20">
        <f t="shared" si="72"/>
        <v>49056</v>
      </c>
      <c r="AF105" s="20">
        <f t="shared" si="73"/>
        <v>49056</v>
      </c>
      <c r="AG105" s="20">
        <f t="shared" si="74"/>
        <v>100</v>
      </c>
      <c r="AH105" s="59" t="s">
        <v>545</v>
      </c>
      <c r="AI105" s="19" t="s">
        <v>562</v>
      </c>
      <c r="AJ105"/>
      <c r="AK105"/>
      <c r="AL105"/>
      <c r="AM105" s="26">
        <f t="shared" si="75"/>
        <v>0</v>
      </c>
      <c r="AN105"/>
      <c r="AO105" s="26">
        <v>4928.7142857142899</v>
      </c>
      <c r="AP105" s="181">
        <v>43830</v>
      </c>
      <c r="AQ105" s="159">
        <v>4139</v>
      </c>
      <c r="AR105">
        <v>456</v>
      </c>
      <c r="AS105" s="151">
        <f t="shared" si="76"/>
        <v>11.017153901908673</v>
      </c>
      <c r="AT105"/>
      <c r="AU105" s="26">
        <f t="shared" si="61"/>
        <v>-639</v>
      </c>
      <c r="AV105" s="26">
        <f t="shared" si="62"/>
        <v>3044</v>
      </c>
      <c r="AW105" s="26">
        <f t="shared" si="63"/>
        <v>88.982846098091329</v>
      </c>
      <c r="AX105" s="1">
        <v>1</v>
      </c>
    </row>
    <row r="106" spans="1:50" s="1" customFormat="1" ht="15" customHeight="1" x14ac:dyDescent="0.25">
      <c r="A106" s="173" t="s">
        <v>197</v>
      </c>
      <c r="B106" s="8">
        <v>8330514</v>
      </c>
      <c r="C106" s="8">
        <v>0</v>
      </c>
      <c r="D106" s="10">
        <v>1</v>
      </c>
      <c r="E106" s="10">
        <v>1</v>
      </c>
      <c r="F106" s="10"/>
      <c r="G106" s="10">
        <f t="shared" si="64"/>
        <v>74638</v>
      </c>
      <c r="H106" s="19">
        <f t="shared" si="65"/>
        <v>74638</v>
      </c>
      <c r="I106" s="19">
        <v>683</v>
      </c>
      <c r="J106" s="19">
        <v>72993</v>
      </c>
      <c r="K106" s="29">
        <f t="shared" si="66"/>
        <v>2.2039711675018085</v>
      </c>
      <c r="L106" s="19" t="s">
        <v>58</v>
      </c>
      <c r="M106" s="23">
        <v>42776.294259259259</v>
      </c>
      <c r="N106" s="23"/>
      <c r="O106" s="179">
        <f t="shared" si="67"/>
        <v>100</v>
      </c>
      <c r="P106" s="19">
        <v>92.09</v>
      </c>
      <c r="Q106" s="19">
        <f t="shared" ref="Q106:Q133" si="78">ROUND(O106-P106,0)</f>
        <v>8</v>
      </c>
      <c r="R106" s="19"/>
      <c r="S106" s="19">
        <f t="shared" si="58"/>
        <v>29598</v>
      </c>
      <c r="T106" s="19">
        <f t="shared" si="59"/>
        <v>29598</v>
      </c>
      <c r="U106" s="20">
        <f t="shared" si="68"/>
        <v>100</v>
      </c>
      <c r="V106" s="19">
        <v>45040</v>
      </c>
      <c r="W106" s="19">
        <v>45040</v>
      </c>
      <c r="X106" s="187">
        <f t="shared" si="69"/>
        <v>100</v>
      </c>
      <c r="Y106" s="19">
        <v>2220</v>
      </c>
      <c r="Z106" s="20">
        <v>2220</v>
      </c>
      <c r="AA106" s="20">
        <f t="shared" si="70"/>
        <v>100</v>
      </c>
      <c r="AB106" s="20">
        <v>27378</v>
      </c>
      <c r="AC106" s="20">
        <v>27378</v>
      </c>
      <c r="AD106" s="20">
        <f t="shared" si="71"/>
        <v>100</v>
      </c>
      <c r="AE106" s="20">
        <f t="shared" si="72"/>
        <v>72418</v>
      </c>
      <c r="AF106" s="20">
        <f t="shared" si="73"/>
        <v>72418</v>
      </c>
      <c r="AG106" s="187">
        <f t="shared" si="74"/>
        <v>100</v>
      </c>
      <c r="AH106" s="59" t="s">
        <v>531</v>
      </c>
      <c r="AI106" s="19" t="s">
        <v>52</v>
      </c>
      <c r="AJ106" s="1">
        <v>4</v>
      </c>
      <c r="AK106" s="1">
        <v>100</v>
      </c>
      <c r="AL106" s="1">
        <f t="shared" ref="AL106:AL120" si="79">IF(AK106&gt;0,AK106*AJ106,"")</f>
        <v>400</v>
      </c>
      <c r="AM106" s="26">
        <f t="shared" si="75"/>
        <v>0</v>
      </c>
      <c r="AN106" s="26">
        <f>IF(AL106&gt;0,AM106/AL106,"")</f>
        <v>0</v>
      </c>
      <c r="AO106" s="26"/>
      <c r="AP106" s="181">
        <v>43251</v>
      </c>
      <c r="AQ106" s="159">
        <v>27378</v>
      </c>
      <c r="AR106" s="159">
        <v>27378</v>
      </c>
      <c r="AS106" s="151">
        <f t="shared" si="76"/>
        <v>100</v>
      </c>
      <c r="AU106" s="26">
        <f t="shared" si="61"/>
        <v>2220</v>
      </c>
      <c r="AV106" s="26">
        <f t="shared" si="62"/>
        <v>2220</v>
      </c>
      <c r="AW106" s="26">
        <f t="shared" si="63"/>
        <v>0</v>
      </c>
      <c r="AX106" s="1">
        <v>4</v>
      </c>
    </row>
    <row r="107" spans="1:50" s="1" customFormat="1" ht="15" customHeight="1" x14ac:dyDescent="0.25">
      <c r="A107" s="173" t="s">
        <v>192</v>
      </c>
      <c r="B107" s="8">
        <v>7355815</v>
      </c>
      <c r="C107" s="8">
        <v>0</v>
      </c>
      <c r="D107" s="10">
        <v>1</v>
      </c>
      <c r="E107" s="10">
        <v>1</v>
      </c>
      <c r="F107" s="10"/>
      <c r="G107" s="10">
        <f t="shared" si="64"/>
        <v>82064</v>
      </c>
      <c r="H107" s="19">
        <f t="shared" si="65"/>
        <v>82064</v>
      </c>
      <c r="I107" s="19">
        <v>2643</v>
      </c>
      <c r="J107" s="19">
        <v>81418</v>
      </c>
      <c r="K107" s="29">
        <f t="shared" si="66"/>
        <v>0.78719048547475146</v>
      </c>
      <c r="L107" s="19" t="s">
        <v>58</v>
      </c>
      <c r="M107" s="23">
        <v>42773.612384259257</v>
      </c>
      <c r="N107" s="23"/>
      <c r="O107" s="179">
        <f t="shared" si="67"/>
        <v>100</v>
      </c>
      <c r="P107" s="19">
        <v>69.52</v>
      </c>
      <c r="Q107" s="19">
        <f t="shared" si="78"/>
        <v>30</v>
      </c>
      <c r="R107" s="19"/>
      <c r="S107" s="19">
        <f t="shared" si="58"/>
        <v>37512</v>
      </c>
      <c r="T107" s="19">
        <f t="shared" si="59"/>
        <v>37512</v>
      </c>
      <c r="U107" s="20">
        <f t="shared" si="68"/>
        <v>100</v>
      </c>
      <c r="V107" s="19">
        <v>44552</v>
      </c>
      <c r="W107" s="19">
        <v>44552</v>
      </c>
      <c r="X107" s="187">
        <f t="shared" si="69"/>
        <v>100</v>
      </c>
      <c r="Y107" s="19">
        <v>1332</v>
      </c>
      <c r="Z107" s="20">
        <v>1332</v>
      </c>
      <c r="AA107" s="20">
        <f t="shared" si="70"/>
        <v>100</v>
      </c>
      <c r="AB107" s="20">
        <v>36180</v>
      </c>
      <c r="AC107" s="20">
        <v>36180</v>
      </c>
      <c r="AD107" s="20">
        <f t="shared" si="71"/>
        <v>100</v>
      </c>
      <c r="AE107" s="20">
        <f t="shared" si="72"/>
        <v>80732</v>
      </c>
      <c r="AF107" s="20">
        <f t="shared" si="73"/>
        <v>80732</v>
      </c>
      <c r="AG107" s="187">
        <f t="shared" si="74"/>
        <v>100</v>
      </c>
      <c r="AH107" s="59" t="s">
        <v>431</v>
      </c>
      <c r="AI107" s="19" t="s">
        <v>532</v>
      </c>
      <c r="AJ107" s="1">
        <v>7</v>
      </c>
      <c r="AK107" s="1">
        <v>100</v>
      </c>
      <c r="AL107" s="1">
        <f t="shared" si="79"/>
        <v>700</v>
      </c>
      <c r="AM107" s="26">
        <f t="shared" si="75"/>
        <v>0</v>
      </c>
      <c r="AN107" s="26"/>
      <c r="AO107" s="26"/>
      <c r="AP107" s="181" t="s">
        <v>52</v>
      </c>
      <c r="AQ107" s="159">
        <v>36765</v>
      </c>
      <c r="AR107" s="159">
        <v>36765</v>
      </c>
      <c r="AS107" s="151">
        <f t="shared" si="76"/>
        <v>100</v>
      </c>
      <c r="AU107" s="26">
        <f t="shared" si="61"/>
        <v>747</v>
      </c>
      <c r="AV107" s="26">
        <f t="shared" si="62"/>
        <v>747</v>
      </c>
      <c r="AW107" s="26">
        <f t="shared" si="63"/>
        <v>0</v>
      </c>
      <c r="AX107" s="1">
        <v>4</v>
      </c>
    </row>
    <row r="108" spans="1:50" s="1" customFormat="1" ht="15.75" customHeight="1" x14ac:dyDescent="0.25">
      <c r="A108" s="173" t="s">
        <v>308</v>
      </c>
      <c r="B108" s="8">
        <v>8070628</v>
      </c>
      <c r="C108" s="8">
        <v>0</v>
      </c>
      <c r="D108" s="10">
        <v>1</v>
      </c>
      <c r="E108" s="10">
        <v>1</v>
      </c>
      <c r="F108" s="10"/>
      <c r="G108" s="10">
        <f t="shared" si="64"/>
        <v>74376</v>
      </c>
      <c r="H108" s="19">
        <f t="shared" si="65"/>
        <v>74376</v>
      </c>
      <c r="I108" s="19">
        <v>0</v>
      </c>
      <c r="J108" s="19">
        <v>70838</v>
      </c>
      <c r="K108" s="29">
        <f t="shared" si="66"/>
        <v>4.7569108314510054</v>
      </c>
      <c r="L108" s="19" t="s">
        <v>58</v>
      </c>
      <c r="M108" s="23">
        <v>42773.725428240738</v>
      </c>
      <c r="N108" s="23"/>
      <c r="O108" s="179">
        <f t="shared" si="67"/>
        <v>100</v>
      </c>
      <c r="P108" s="19">
        <v>100</v>
      </c>
      <c r="Q108" s="19">
        <f t="shared" si="78"/>
        <v>0</v>
      </c>
      <c r="R108" s="19"/>
      <c r="S108" s="19">
        <f t="shared" si="58"/>
        <v>30033</v>
      </c>
      <c r="T108" s="19">
        <f t="shared" si="59"/>
        <v>30033</v>
      </c>
      <c r="U108" s="20">
        <f t="shared" si="68"/>
        <v>100</v>
      </c>
      <c r="V108" s="19">
        <v>44343</v>
      </c>
      <c r="W108" s="19">
        <v>44343</v>
      </c>
      <c r="X108" s="187">
        <f t="shared" si="69"/>
        <v>100</v>
      </c>
      <c r="Y108" s="19">
        <v>7455</v>
      </c>
      <c r="Z108" s="20">
        <v>7455</v>
      </c>
      <c r="AA108" s="20">
        <f t="shared" si="70"/>
        <v>100</v>
      </c>
      <c r="AB108" s="20">
        <v>22578</v>
      </c>
      <c r="AC108" s="20">
        <v>22578</v>
      </c>
      <c r="AD108" s="20">
        <f t="shared" si="71"/>
        <v>100</v>
      </c>
      <c r="AE108" s="20">
        <f t="shared" si="72"/>
        <v>66921</v>
      </c>
      <c r="AF108" s="20">
        <f t="shared" si="73"/>
        <v>66921</v>
      </c>
      <c r="AG108" s="187">
        <f t="shared" si="74"/>
        <v>100</v>
      </c>
      <c r="AH108" s="59" t="s">
        <v>433</v>
      </c>
      <c r="AI108" s="19" t="s">
        <v>123</v>
      </c>
      <c r="AL108" s="1" t="str">
        <f t="shared" si="79"/>
        <v/>
      </c>
      <c r="AM108" s="26">
        <f t="shared" si="75"/>
        <v>0</v>
      </c>
      <c r="AN108" s="26"/>
      <c r="AO108" s="26"/>
      <c r="AP108" s="181" t="s">
        <v>52</v>
      </c>
      <c r="AQ108" s="159">
        <v>10395</v>
      </c>
      <c r="AR108" s="159">
        <v>10395</v>
      </c>
      <c r="AS108" s="151">
        <f t="shared" si="76"/>
        <v>100</v>
      </c>
      <c r="AU108" s="26">
        <f t="shared" si="61"/>
        <v>19638</v>
      </c>
      <c r="AV108" s="26">
        <f t="shared" si="62"/>
        <v>19638</v>
      </c>
      <c r="AW108" s="26">
        <f t="shared" si="63"/>
        <v>0</v>
      </c>
      <c r="AX108" s="1">
        <v>4</v>
      </c>
    </row>
    <row r="109" spans="1:50" s="1" customFormat="1" ht="15.75" customHeight="1" x14ac:dyDescent="0.25">
      <c r="A109" s="141" t="s">
        <v>139</v>
      </c>
      <c r="B109" s="8">
        <v>7162456</v>
      </c>
      <c r="C109" s="8">
        <v>0</v>
      </c>
      <c r="D109" s="10">
        <v>1</v>
      </c>
      <c r="E109" s="10">
        <v>1</v>
      </c>
      <c r="F109" s="10"/>
      <c r="G109" s="10">
        <f t="shared" si="64"/>
        <v>82265</v>
      </c>
      <c r="H109" s="19">
        <f t="shared" si="65"/>
        <v>82265</v>
      </c>
      <c r="I109" s="19">
        <v>242</v>
      </c>
      <c r="J109" s="19">
        <v>68191</v>
      </c>
      <c r="K109" s="29">
        <f t="shared" si="66"/>
        <v>17.108126177596791</v>
      </c>
      <c r="L109" s="19" t="s">
        <v>58</v>
      </c>
      <c r="M109" s="23"/>
      <c r="N109" s="23"/>
      <c r="O109" s="179">
        <f t="shared" si="67"/>
        <v>100</v>
      </c>
      <c r="P109" s="19">
        <v>100</v>
      </c>
      <c r="Q109" s="19">
        <f t="shared" si="78"/>
        <v>0</v>
      </c>
      <c r="R109" s="19"/>
      <c r="S109" s="19">
        <f t="shared" si="58"/>
        <v>39467</v>
      </c>
      <c r="T109" s="19">
        <f t="shared" si="59"/>
        <v>39467</v>
      </c>
      <c r="U109" s="20">
        <f t="shared" si="68"/>
        <v>100</v>
      </c>
      <c r="V109" s="19">
        <v>42798</v>
      </c>
      <c r="W109" s="19">
        <v>42798</v>
      </c>
      <c r="X109" s="187">
        <f t="shared" si="69"/>
        <v>100</v>
      </c>
      <c r="Y109" s="20">
        <v>1613</v>
      </c>
      <c r="Z109" s="20">
        <v>1613</v>
      </c>
      <c r="AA109" s="20">
        <f t="shared" si="70"/>
        <v>100</v>
      </c>
      <c r="AB109" s="20">
        <v>37854</v>
      </c>
      <c r="AC109" s="20">
        <v>37854</v>
      </c>
      <c r="AD109" s="20">
        <f t="shared" si="71"/>
        <v>100</v>
      </c>
      <c r="AE109" s="20">
        <f t="shared" si="72"/>
        <v>80652</v>
      </c>
      <c r="AF109" s="20">
        <f t="shared" si="73"/>
        <v>80652</v>
      </c>
      <c r="AG109" s="187">
        <f t="shared" si="74"/>
        <v>100</v>
      </c>
      <c r="AH109" s="59">
        <v>0</v>
      </c>
      <c r="AI109" s="19" t="s">
        <v>431</v>
      </c>
      <c r="AL109" s="1" t="str">
        <f t="shared" si="79"/>
        <v/>
      </c>
      <c r="AM109" s="26">
        <f t="shared" si="75"/>
        <v>0</v>
      </c>
      <c r="AN109" s="26" t="e">
        <f>IF(AL109&gt;0,AM109/AL109,"")</f>
        <v>#VALUE!</v>
      </c>
      <c r="AO109" s="26">
        <v>55.095135135135138</v>
      </c>
      <c r="AP109" s="181" t="s">
        <v>52</v>
      </c>
      <c r="AQ109" s="159">
        <v>37749</v>
      </c>
      <c r="AR109" s="159">
        <v>16795</v>
      </c>
      <c r="AS109" s="151">
        <f t="shared" si="76"/>
        <v>44.491244801186788</v>
      </c>
      <c r="AU109" s="26">
        <f t="shared" si="61"/>
        <v>1718</v>
      </c>
      <c r="AV109" s="26">
        <f t="shared" si="62"/>
        <v>22672</v>
      </c>
      <c r="AW109" s="26">
        <f t="shared" si="63"/>
        <v>55.508755198813212</v>
      </c>
      <c r="AX109" s="1">
        <v>1</v>
      </c>
    </row>
    <row r="110" spans="1:50" s="1" customFormat="1" x14ac:dyDescent="0.25">
      <c r="A110" s="141" t="s">
        <v>302</v>
      </c>
      <c r="B110" s="8">
        <v>7175981</v>
      </c>
      <c r="C110" s="8">
        <v>0</v>
      </c>
      <c r="D110" s="10">
        <v>1</v>
      </c>
      <c r="E110" s="10">
        <v>1</v>
      </c>
      <c r="F110" s="10"/>
      <c r="G110" s="10">
        <f t="shared" si="64"/>
        <v>68181</v>
      </c>
      <c r="H110" s="19">
        <f t="shared" si="65"/>
        <v>68181</v>
      </c>
      <c r="I110" s="19">
        <v>0</v>
      </c>
      <c r="J110" s="19">
        <v>64969</v>
      </c>
      <c r="K110" s="29">
        <f t="shared" si="66"/>
        <v>4.7109898652117153</v>
      </c>
      <c r="L110" s="19" t="s">
        <v>58</v>
      </c>
      <c r="M110" s="23">
        <v>42698.406215277777</v>
      </c>
      <c r="N110" s="23"/>
      <c r="O110" s="179">
        <f t="shared" si="67"/>
        <v>100</v>
      </c>
      <c r="P110" s="19">
        <v>100</v>
      </c>
      <c r="Q110" s="19">
        <f t="shared" si="78"/>
        <v>0</v>
      </c>
      <c r="R110" s="19"/>
      <c r="S110" s="19">
        <f t="shared" ref="S110:S141" si="80">Y110+AB110</f>
        <v>25518</v>
      </c>
      <c r="T110" s="19">
        <f t="shared" ref="T110:T141" si="81">Z110+AC110</f>
        <v>25518</v>
      </c>
      <c r="U110" s="20">
        <f t="shared" si="68"/>
        <v>100</v>
      </c>
      <c r="V110" s="19">
        <v>42663</v>
      </c>
      <c r="W110" s="19">
        <v>42663</v>
      </c>
      <c r="X110" s="187">
        <f t="shared" si="69"/>
        <v>100</v>
      </c>
      <c r="Y110" s="19">
        <v>4568</v>
      </c>
      <c r="Z110" s="20">
        <v>4568</v>
      </c>
      <c r="AA110" s="20">
        <f t="shared" si="70"/>
        <v>100</v>
      </c>
      <c r="AB110" s="20">
        <v>20950</v>
      </c>
      <c r="AC110" s="20">
        <v>20950</v>
      </c>
      <c r="AD110" s="20">
        <f t="shared" si="71"/>
        <v>100</v>
      </c>
      <c r="AE110" s="20">
        <f t="shared" si="72"/>
        <v>63613</v>
      </c>
      <c r="AF110" s="20">
        <f t="shared" si="73"/>
        <v>63613</v>
      </c>
      <c r="AG110" s="187">
        <f t="shared" si="74"/>
        <v>100</v>
      </c>
      <c r="AH110" s="59" t="s">
        <v>391</v>
      </c>
      <c r="AI110" s="19" t="s">
        <v>450</v>
      </c>
      <c r="AL110" s="1" t="str">
        <f t="shared" si="79"/>
        <v/>
      </c>
      <c r="AM110" s="26">
        <f t="shared" si="75"/>
        <v>0</v>
      </c>
      <c r="AN110" s="26"/>
      <c r="AO110" s="26"/>
      <c r="AP110" s="181" t="s">
        <v>52</v>
      </c>
      <c r="AQ110" s="159">
        <v>25518</v>
      </c>
      <c r="AR110" s="159">
        <v>25518</v>
      </c>
      <c r="AS110" s="151">
        <f t="shared" si="76"/>
        <v>100</v>
      </c>
      <c r="AU110" s="26">
        <f t="shared" si="61"/>
        <v>0</v>
      </c>
      <c r="AV110" s="26">
        <f t="shared" si="62"/>
        <v>0</v>
      </c>
      <c r="AW110" s="26">
        <f t="shared" si="63"/>
        <v>0</v>
      </c>
      <c r="AX110" s="1">
        <v>2</v>
      </c>
    </row>
    <row r="111" spans="1:50" s="1" customFormat="1" x14ac:dyDescent="0.25">
      <c r="A111" s="141" t="s">
        <v>292</v>
      </c>
      <c r="B111" s="8">
        <v>8385327</v>
      </c>
      <c r="C111" s="8">
        <v>0</v>
      </c>
      <c r="D111" s="10">
        <v>1</v>
      </c>
      <c r="E111" s="10">
        <v>1</v>
      </c>
      <c r="F111" s="10"/>
      <c r="G111" s="10">
        <f t="shared" si="64"/>
        <v>95001</v>
      </c>
      <c r="H111" s="19">
        <f t="shared" si="65"/>
        <v>95001</v>
      </c>
      <c r="I111" s="19">
        <v>0</v>
      </c>
      <c r="J111" s="19">
        <v>54351</v>
      </c>
      <c r="K111" s="29">
        <f t="shared" si="66"/>
        <v>42.789023273439227</v>
      </c>
      <c r="L111" s="19" t="s">
        <v>58</v>
      </c>
      <c r="M111" s="23"/>
      <c r="N111" s="23">
        <v>41744</v>
      </c>
      <c r="O111" s="179">
        <f t="shared" si="67"/>
        <v>100</v>
      </c>
      <c r="P111" s="19">
        <v>100</v>
      </c>
      <c r="Q111" s="19">
        <f t="shared" si="78"/>
        <v>0</v>
      </c>
      <c r="R111" s="19"/>
      <c r="S111" s="19">
        <f t="shared" si="80"/>
        <v>52519</v>
      </c>
      <c r="T111" s="19">
        <f t="shared" si="81"/>
        <v>52519</v>
      </c>
      <c r="U111" s="20">
        <f t="shared" si="68"/>
        <v>100</v>
      </c>
      <c r="V111" s="19">
        <v>42482</v>
      </c>
      <c r="W111" s="19">
        <v>42482</v>
      </c>
      <c r="X111" s="187">
        <f t="shared" si="69"/>
        <v>100</v>
      </c>
      <c r="Y111" s="19">
        <v>25839</v>
      </c>
      <c r="Z111" s="20">
        <v>25839</v>
      </c>
      <c r="AA111" s="20">
        <f t="shared" si="70"/>
        <v>100</v>
      </c>
      <c r="AB111" s="20">
        <v>26680</v>
      </c>
      <c r="AC111" s="20">
        <v>26680</v>
      </c>
      <c r="AD111" s="20">
        <f t="shared" si="71"/>
        <v>100</v>
      </c>
      <c r="AE111" s="20">
        <f t="shared" si="72"/>
        <v>69162</v>
      </c>
      <c r="AF111" s="20">
        <f t="shared" si="73"/>
        <v>69162</v>
      </c>
      <c r="AG111" s="187">
        <f t="shared" si="74"/>
        <v>100</v>
      </c>
      <c r="AH111" s="59" t="s">
        <v>376</v>
      </c>
      <c r="AI111" s="19" t="s">
        <v>455</v>
      </c>
      <c r="AL111" s="1" t="str">
        <f t="shared" si="79"/>
        <v/>
      </c>
      <c r="AM111" s="26">
        <f t="shared" si="75"/>
        <v>0</v>
      </c>
      <c r="AN111" s="26"/>
      <c r="AO111" s="26"/>
      <c r="AP111" s="181" t="s">
        <v>52</v>
      </c>
      <c r="AQ111" s="159">
        <v>55182</v>
      </c>
      <c r="AR111" s="159">
        <v>55182</v>
      </c>
      <c r="AS111" s="151">
        <f t="shared" si="76"/>
        <v>100</v>
      </c>
      <c r="AU111" s="26">
        <f t="shared" si="61"/>
        <v>-2663</v>
      </c>
      <c r="AV111" s="26">
        <f t="shared" si="62"/>
        <v>-2663</v>
      </c>
      <c r="AW111" s="26">
        <f t="shared" si="63"/>
        <v>0</v>
      </c>
      <c r="AX111" s="1">
        <v>3</v>
      </c>
    </row>
    <row r="112" spans="1:50" s="1" customFormat="1" x14ac:dyDescent="0.25">
      <c r="A112" s="141" t="s">
        <v>208</v>
      </c>
      <c r="B112" s="8">
        <v>8381984</v>
      </c>
      <c r="C112" s="8">
        <v>0</v>
      </c>
      <c r="D112" s="10">
        <v>1</v>
      </c>
      <c r="E112" s="10">
        <v>1</v>
      </c>
      <c r="F112" s="10"/>
      <c r="G112" s="10">
        <f t="shared" si="64"/>
        <v>105646</v>
      </c>
      <c r="H112" s="19">
        <f t="shared" si="65"/>
        <v>105646</v>
      </c>
      <c r="I112" s="19">
        <v>3719</v>
      </c>
      <c r="J112" s="19">
        <v>92100</v>
      </c>
      <c r="K112" s="29">
        <f t="shared" si="66"/>
        <v>12.822066145429076</v>
      </c>
      <c r="L112" s="19" t="s">
        <v>58</v>
      </c>
      <c r="M112" s="23"/>
      <c r="N112" s="23">
        <v>42733</v>
      </c>
      <c r="O112" s="179">
        <f t="shared" si="67"/>
        <v>100</v>
      </c>
      <c r="P112" s="19">
        <v>80.34</v>
      </c>
      <c r="Q112" s="19">
        <f t="shared" si="78"/>
        <v>20</v>
      </c>
      <c r="R112" s="19"/>
      <c r="S112" s="19">
        <f t="shared" si="80"/>
        <v>63208</v>
      </c>
      <c r="T112" s="19">
        <f t="shared" si="81"/>
        <v>63208</v>
      </c>
      <c r="U112" s="20">
        <f t="shared" si="68"/>
        <v>100</v>
      </c>
      <c r="V112" s="19">
        <v>42438</v>
      </c>
      <c r="W112" s="19">
        <v>42438</v>
      </c>
      <c r="X112" s="187">
        <f t="shared" si="69"/>
        <v>100</v>
      </c>
      <c r="Y112" s="19">
        <v>29705</v>
      </c>
      <c r="Z112" s="20">
        <v>29705</v>
      </c>
      <c r="AA112" s="20">
        <f t="shared" si="70"/>
        <v>100</v>
      </c>
      <c r="AB112" s="20">
        <v>33503</v>
      </c>
      <c r="AC112" s="20">
        <v>33503</v>
      </c>
      <c r="AD112" s="20">
        <f t="shared" si="71"/>
        <v>100</v>
      </c>
      <c r="AE112" s="20">
        <f t="shared" si="72"/>
        <v>75941</v>
      </c>
      <c r="AF112" s="20">
        <f t="shared" si="73"/>
        <v>75941</v>
      </c>
      <c r="AG112" s="187">
        <f t="shared" si="74"/>
        <v>100</v>
      </c>
      <c r="AH112" s="59" t="s">
        <v>380</v>
      </c>
      <c r="AI112" s="19" t="s">
        <v>52</v>
      </c>
      <c r="AJ112" s="1">
        <v>9</v>
      </c>
      <c r="AK112" s="1">
        <v>450</v>
      </c>
      <c r="AL112" s="1">
        <f t="shared" si="79"/>
        <v>4050</v>
      </c>
      <c r="AM112" s="26">
        <f t="shared" si="75"/>
        <v>0</v>
      </c>
      <c r="AN112" s="26"/>
      <c r="AO112" s="26"/>
      <c r="AP112" s="181" t="s">
        <v>52</v>
      </c>
      <c r="AQ112" s="159">
        <v>50302</v>
      </c>
      <c r="AR112" s="159">
        <v>50302</v>
      </c>
      <c r="AS112" s="151">
        <f t="shared" si="76"/>
        <v>100</v>
      </c>
      <c r="AU112" s="26">
        <f t="shared" si="61"/>
        <v>12906</v>
      </c>
      <c r="AV112" s="26">
        <f t="shared" si="62"/>
        <v>12906</v>
      </c>
      <c r="AW112" s="26">
        <f t="shared" si="63"/>
        <v>0</v>
      </c>
      <c r="AX112" s="1">
        <v>2</v>
      </c>
    </row>
    <row r="113" spans="1:50" s="1" customFormat="1" x14ac:dyDescent="0.25">
      <c r="A113" s="141" t="s">
        <v>188</v>
      </c>
      <c r="B113" s="8">
        <v>8019215</v>
      </c>
      <c r="C113" s="8">
        <v>0</v>
      </c>
      <c r="D113" s="10">
        <v>1</v>
      </c>
      <c r="E113" s="10">
        <v>1</v>
      </c>
      <c r="F113" s="10"/>
      <c r="G113" s="10">
        <f t="shared" si="64"/>
        <v>97954</v>
      </c>
      <c r="H113" s="19">
        <f t="shared" si="65"/>
        <v>97954</v>
      </c>
      <c r="I113" s="19">
        <v>3614</v>
      </c>
      <c r="J113" s="19">
        <v>83359</v>
      </c>
      <c r="K113" s="29">
        <f t="shared" si="66"/>
        <v>14.899850950446128</v>
      </c>
      <c r="L113" s="19" t="s">
        <v>58</v>
      </c>
      <c r="M113" s="23"/>
      <c r="N113" s="23"/>
      <c r="O113" s="179">
        <f t="shared" si="67"/>
        <v>100</v>
      </c>
      <c r="P113" s="19">
        <v>64</v>
      </c>
      <c r="Q113" s="19">
        <f t="shared" si="78"/>
        <v>36</v>
      </c>
      <c r="R113" s="19"/>
      <c r="S113" s="19">
        <f t="shared" si="80"/>
        <v>55703</v>
      </c>
      <c r="T113" s="19">
        <f t="shared" si="81"/>
        <v>55703</v>
      </c>
      <c r="U113" s="20">
        <f t="shared" si="68"/>
        <v>100</v>
      </c>
      <c r="V113" s="19">
        <v>42251</v>
      </c>
      <c r="W113" s="19">
        <v>42251</v>
      </c>
      <c r="X113" s="187">
        <f t="shared" si="69"/>
        <v>100</v>
      </c>
      <c r="Y113" s="20">
        <v>16823</v>
      </c>
      <c r="Z113" s="20">
        <v>16823</v>
      </c>
      <c r="AA113" s="20">
        <f t="shared" si="70"/>
        <v>100</v>
      </c>
      <c r="AB113" s="20">
        <v>38880</v>
      </c>
      <c r="AC113" s="20">
        <v>38880</v>
      </c>
      <c r="AD113" s="20">
        <f t="shared" si="71"/>
        <v>100</v>
      </c>
      <c r="AE113" s="20">
        <f t="shared" si="72"/>
        <v>81131</v>
      </c>
      <c r="AF113" s="20">
        <f t="shared" si="73"/>
        <v>81131</v>
      </c>
      <c r="AG113" s="187">
        <f t="shared" si="74"/>
        <v>100</v>
      </c>
      <c r="AH113" s="59">
        <v>0</v>
      </c>
      <c r="AI113" s="19" t="s">
        <v>52</v>
      </c>
      <c r="AJ113" s="1">
        <v>15</v>
      </c>
      <c r="AK113" s="1">
        <v>35</v>
      </c>
      <c r="AL113" s="1">
        <f t="shared" si="79"/>
        <v>525</v>
      </c>
      <c r="AM113" s="26">
        <f t="shared" si="75"/>
        <v>0</v>
      </c>
      <c r="AN113" s="26">
        <f>IF(AL113&gt;0,AM113/AL113,"")</f>
        <v>0</v>
      </c>
      <c r="AO113" s="26">
        <v>78.094980694980691</v>
      </c>
      <c r="AP113" s="181">
        <v>43251</v>
      </c>
      <c r="AQ113" s="159">
        <v>52639</v>
      </c>
      <c r="AR113" s="159">
        <v>46365</v>
      </c>
      <c r="AS113" s="151">
        <f t="shared" si="76"/>
        <v>88.081080567639958</v>
      </c>
      <c r="AU113" s="26">
        <f t="shared" si="61"/>
        <v>3064</v>
      </c>
      <c r="AV113" s="26">
        <f t="shared" si="62"/>
        <v>9338</v>
      </c>
      <c r="AW113" s="26">
        <f t="shared" si="63"/>
        <v>11.918919432360042</v>
      </c>
      <c r="AX113" s="1">
        <v>1</v>
      </c>
    </row>
    <row r="114" spans="1:50" s="1" customFormat="1" x14ac:dyDescent="0.25">
      <c r="A114" s="141" t="s">
        <v>124</v>
      </c>
      <c r="B114" s="8">
        <v>7223692</v>
      </c>
      <c r="C114" s="8">
        <v>0</v>
      </c>
      <c r="D114" s="10">
        <v>1</v>
      </c>
      <c r="E114" s="10">
        <v>1</v>
      </c>
      <c r="F114" s="10"/>
      <c r="G114" s="10">
        <f t="shared" si="64"/>
        <v>75768</v>
      </c>
      <c r="H114" s="19">
        <f t="shared" si="65"/>
        <v>75768</v>
      </c>
      <c r="I114" s="19">
        <v>4824</v>
      </c>
      <c r="J114" s="19">
        <v>76330</v>
      </c>
      <c r="K114" s="29">
        <f t="shared" si="66"/>
        <v>-0.74173793685988809</v>
      </c>
      <c r="L114" s="19" t="s">
        <v>58</v>
      </c>
      <c r="M114" s="23"/>
      <c r="N114" s="23" t="s">
        <v>65</v>
      </c>
      <c r="O114" s="179">
        <f t="shared" si="67"/>
        <v>100</v>
      </c>
      <c r="P114" s="19">
        <v>69.62</v>
      </c>
      <c r="Q114" s="19">
        <f t="shared" si="78"/>
        <v>30</v>
      </c>
      <c r="R114" s="19"/>
      <c r="S114" s="19">
        <f t="shared" si="80"/>
        <v>34289</v>
      </c>
      <c r="T114" s="19">
        <f t="shared" si="81"/>
        <v>34289</v>
      </c>
      <c r="U114" s="20">
        <f t="shared" si="68"/>
        <v>100</v>
      </c>
      <c r="V114" s="19">
        <v>41479</v>
      </c>
      <c r="W114" s="19">
        <v>41479</v>
      </c>
      <c r="X114" s="187">
        <f t="shared" si="69"/>
        <v>100</v>
      </c>
      <c r="Y114" s="19">
        <v>4915</v>
      </c>
      <c r="Z114" s="20">
        <v>4915</v>
      </c>
      <c r="AA114" s="20">
        <f t="shared" si="70"/>
        <v>100</v>
      </c>
      <c r="AB114" s="20">
        <v>29374</v>
      </c>
      <c r="AC114" s="20">
        <v>29374</v>
      </c>
      <c r="AD114" s="20">
        <f t="shared" si="71"/>
        <v>100</v>
      </c>
      <c r="AE114" s="20">
        <f t="shared" si="72"/>
        <v>70853</v>
      </c>
      <c r="AF114" s="20">
        <f t="shared" si="73"/>
        <v>70853</v>
      </c>
      <c r="AG114" s="187">
        <f t="shared" si="74"/>
        <v>100</v>
      </c>
      <c r="AH114" s="59" t="s">
        <v>388</v>
      </c>
      <c r="AI114" s="19" t="s">
        <v>525</v>
      </c>
      <c r="AJ114" s="1">
        <v>8</v>
      </c>
      <c r="AK114" s="1">
        <v>30</v>
      </c>
      <c r="AL114" s="1">
        <f t="shared" si="79"/>
        <v>240</v>
      </c>
      <c r="AM114" s="26">
        <f t="shared" si="75"/>
        <v>0</v>
      </c>
      <c r="AN114" s="26"/>
      <c r="AO114" s="26"/>
      <c r="AP114" s="181" t="s">
        <v>52</v>
      </c>
      <c r="AQ114" s="159">
        <v>34431</v>
      </c>
      <c r="AR114" s="159">
        <v>34431</v>
      </c>
      <c r="AS114" s="151">
        <f t="shared" si="76"/>
        <v>100</v>
      </c>
      <c r="AU114" s="26">
        <f t="shared" si="61"/>
        <v>-142</v>
      </c>
      <c r="AV114" s="26">
        <f t="shared" si="62"/>
        <v>-142</v>
      </c>
      <c r="AW114" s="26">
        <f t="shared" si="63"/>
        <v>0</v>
      </c>
      <c r="AX114" s="1">
        <v>1</v>
      </c>
    </row>
    <row r="115" spans="1:50" s="1" customFormat="1" ht="17.25" customHeight="1" x14ac:dyDescent="0.25">
      <c r="A115" s="173" t="s">
        <v>171</v>
      </c>
      <c r="B115" s="8">
        <v>7256230</v>
      </c>
      <c r="C115" s="8">
        <v>0</v>
      </c>
      <c r="D115" s="10">
        <v>1</v>
      </c>
      <c r="E115" s="10">
        <v>1</v>
      </c>
      <c r="F115" s="10"/>
      <c r="G115" s="10">
        <f t="shared" si="64"/>
        <v>60755</v>
      </c>
      <c r="H115" s="19">
        <f t="shared" si="65"/>
        <v>60755</v>
      </c>
      <c r="I115" s="19">
        <v>123</v>
      </c>
      <c r="J115" s="19">
        <v>53136</v>
      </c>
      <c r="K115" s="29">
        <f t="shared" si="66"/>
        <v>12.540531643486133</v>
      </c>
      <c r="L115" s="19" t="s">
        <v>58</v>
      </c>
      <c r="M115" s="23">
        <v>42774.430381944447</v>
      </c>
      <c r="N115" s="23"/>
      <c r="O115" s="179">
        <f t="shared" si="67"/>
        <v>100</v>
      </c>
      <c r="P115" s="19">
        <v>83</v>
      </c>
      <c r="Q115" s="19">
        <f t="shared" si="78"/>
        <v>17</v>
      </c>
      <c r="R115" s="19"/>
      <c r="S115" s="19">
        <f t="shared" si="80"/>
        <v>19642</v>
      </c>
      <c r="T115" s="19">
        <f t="shared" si="81"/>
        <v>19642</v>
      </c>
      <c r="U115" s="20">
        <f t="shared" si="68"/>
        <v>100</v>
      </c>
      <c r="V115" s="19">
        <v>41113</v>
      </c>
      <c r="W115" s="22">
        <v>41113</v>
      </c>
      <c r="X115" s="187">
        <f t="shared" si="69"/>
        <v>100</v>
      </c>
      <c r="Y115" s="20">
        <v>3096</v>
      </c>
      <c r="Z115" s="20">
        <v>3096</v>
      </c>
      <c r="AA115" s="20">
        <f t="shared" si="70"/>
        <v>100</v>
      </c>
      <c r="AB115" s="20">
        <v>16546</v>
      </c>
      <c r="AC115" s="20">
        <v>16546</v>
      </c>
      <c r="AD115" s="20">
        <f t="shared" si="71"/>
        <v>100</v>
      </c>
      <c r="AE115" s="20">
        <f t="shared" si="72"/>
        <v>57659</v>
      </c>
      <c r="AF115" s="20">
        <f t="shared" si="73"/>
        <v>57659</v>
      </c>
      <c r="AG115" s="187">
        <f t="shared" si="74"/>
        <v>100</v>
      </c>
      <c r="AH115" s="59">
        <v>0</v>
      </c>
      <c r="AI115" s="19" t="s">
        <v>123</v>
      </c>
      <c r="AJ115" s="1">
        <v>1</v>
      </c>
      <c r="AK115" s="1">
        <v>150</v>
      </c>
      <c r="AL115" s="1">
        <f t="shared" si="79"/>
        <v>150</v>
      </c>
      <c r="AM115" s="26">
        <f t="shared" si="75"/>
        <v>0</v>
      </c>
      <c r="AN115" s="26">
        <f>IF(AL115&gt;0,AM115/AL115,"")</f>
        <v>0</v>
      </c>
      <c r="AO115" s="26">
        <v>-92.032167832167829</v>
      </c>
      <c r="AP115" s="181">
        <v>43344</v>
      </c>
      <c r="AQ115" s="159">
        <v>15497</v>
      </c>
      <c r="AR115" s="22">
        <v>14203</v>
      </c>
      <c r="AS115" s="151">
        <f t="shared" si="76"/>
        <v>91.649996773569072</v>
      </c>
      <c r="AU115" s="26">
        <f t="shared" si="61"/>
        <v>4145</v>
      </c>
      <c r="AV115" s="26">
        <f t="shared" si="62"/>
        <v>5439</v>
      </c>
      <c r="AW115" s="26">
        <f t="shared" si="63"/>
        <v>8.3500032264309283</v>
      </c>
      <c r="AX115" s="1">
        <v>4</v>
      </c>
    </row>
    <row r="116" spans="1:50" s="1" customFormat="1" ht="15.75" customHeight="1" x14ac:dyDescent="0.25">
      <c r="A116" s="173" t="s">
        <v>298</v>
      </c>
      <c r="B116" s="8">
        <v>7203608</v>
      </c>
      <c r="C116" s="8">
        <v>0</v>
      </c>
      <c r="D116" s="10">
        <v>1</v>
      </c>
      <c r="E116" s="10">
        <v>1</v>
      </c>
      <c r="F116" s="10"/>
      <c r="G116" s="10">
        <f t="shared" si="64"/>
        <v>77253</v>
      </c>
      <c r="H116" s="19">
        <f t="shared" si="65"/>
        <v>77253</v>
      </c>
      <c r="I116" s="19">
        <v>0</v>
      </c>
      <c r="J116" s="19">
        <v>76214</v>
      </c>
      <c r="K116" s="29">
        <f t="shared" si="66"/>
        <v>1.3449315884172783</v>
      </c>
      <c r="L116" s="19" t="s">
        <v>58</v>
      </c>
      <c r="M116" s="23">
        <v>42769.551504629628</v>
      </c>
      <c r="N116" s="23"/>
      <c r="O116" s="179">
        <f t="shared" si="67"/>
        <v>100</v>
      </c>
      <c r="P116" s="19">
        <v>100</v>
      </c>
      <c r="Q116" s="19">
        <f t="shared" si="78"/>
        <v>0</v>
      </c>
      <c r="R116" s="19"/>
      <c r="S116" s="19">
        <f t="shared" si="80"/>
        <v>36526</v>
      </c>
      <c r="T116" s="19">
        <f t="shared" si="81"/>
        <v>36526</v>
      </c>
      <c r="U116" s="20">
        <f t="shared" si="68"/>
        <v>100</v>
      </c>
      <c r="V116" s="19">
        <v>40727</v>
      </c>
      <c r="W116" s="19">
        <v>40727</v>
      </c>
      <c r="X116" s="187">
        <f t="shared" si="69"/>
        <v>100</v>
      </c>
      <c r="Y116" s="19">
        <v>0</v>
      </c>
      <c r="Z116" s="20">
        <v>0</v>
      </c>
      <c r="AA116" s="20" t="str">
        <f t="shared" si="70"/>
        <v/>
      </c>
      <c r="AB116" s="20">
        <v>36526</v>
      </c>
      <c r="AC116" s="20">
        <v>36526</v>
      </c>
      <c r="AD116" s="20">
        <f t="shared" si="71"/>
        <v>100</v>
      </c>
      <c r="AE116" s="20">
        <f t="shared" si="72"/>
        <v>77253</v>
      </c>
      <c r="AF116" s="20">
        <f t="shared" si="73"/>
        <v>77253</v>
      </c>
      <c r="AG116" s="187">
        <f t="shared" si="74"/>
        <v>100</v>
      </c>
      <c r="AH116" s="59" t="s">
        <v>367</v>
      </c>
      <c r="AI116" s="19">
        <v>0</v>
      </c>
      <c r="AL116" s="1" t="str">
        <f t="shared" si="79"/>
        <v/>
      </c>
      <c r="AM116" s="26">
        <f t="shared" si="75"/>
        <v>0</v>
      </c>
      <c r="AN116" s="26" t="e">
        <f>IF(AL116&gt;0,AM116/AL116,"")</f>
        <v>#VALUE!</v>
      </c>
      <c r="AO116" s="26">
        <v>31.18827708703375</v>
      </c>
      <c r="AP116" s="181" t="s">
        <v>52</v>
      </c>
      <c r="AQ116" s="159">
        <v>36526</v>
      </c>
      <c r="AR116" s="159">
        <v>36526</v>
      </c>
      <c r="AS116" s="151">
        <f t="shared" si="76"/>
        <v>100</v>
      </c>
      <c r="AU116" s="26">
        <f t="shared" si="61"/>
        <v>0</v>
      </c>
      <c r="AV116" s="26">
        <f t="shared" si="62"/>
        <v>0</v>
      </c>
      <c r="AW116" s="26">
        <f t="shared" si="63"/>
        <v>0</v>
      </c>
      <c r="AX116" s="1">
        <v>4</v>
      </c>
    </row>
    <row r="117" spans="1:50" s="1" customFormat="1" ht="17.25" customHeight="1" x14ac:dyDescent="0.25">
      <c r="A117" s="141" t="s">
        <v>295</v>
      </c>
      <c r="B117" s="8">
        <v>7345534</v>
      </c>
      <c r="C117" s="8">
        <v>0</v>
      </c>
      <c r="D117" s="10">
        <v>1</v>
      </c>
      <c r="E117" s="10">
        <v>1</v>
      </c>
      <c r="F117" s="10"/>
      <c r="G117" s="10">
        <f t="shared" si="64"/>
        <v>91860</v>
      </c>
      <c r="H117" s="19">
        <f t="shared" si="65"/>
        <v>91860</v>
      </c>
      <c r="I117" s="19">
        <v>0</v>
      </c>
      <c r="J117" s="19">
        <v>80731</v>
      </c>
      <c r="K117" s="29">
        <f t="shared" si="66"/>
        <v>12.115175266710212</v>
      </c>
      <c r="L117" s="19" t="s">
        <v>58</v>
      </c>
      <c r="M117" s="23">
        <v>42734.341770833336</v>
      </c>
      <c r="N117" s="23"/>
      <c r="O117" s="179">
        <f t="shared" si="67"/>
        <v>100</v>
      </c>
      <c r="P117" s="19">
        <v>100</v>
      </c>
      <c r="Q117" s="19">
        <f t="shared" si="78"/>
        <v>0</v>
      </c>
      <c r="R117" s="19"/>
      <c r="S117" s="19">
        <f t="shared" si="80"/>
        <v>51259</v>
      </c>
      <c r="T117" s="19">
        <f t="shared" si="81"/>
        <v>51259</v>
      </c>
      <c r="U117" s="20">
        <f t="shared" si="68"/>
        <v>100</v>
      </c>
      <c r="V117" s="19">
        <v>40601</v>
      </c>
      <c r="W117" s="19">
        <v>40601</v>
      </c>
      <c r="X117" s="187">
        <f t="shared" si="69"/>
        <v>100</v>
      </c>
      <c r="Y117" s="19">
        <v>10627</v>
      </c>
      <c r="Z117" s="20">
        <v>10627</v>
      </c>
      <c r="AA117" s="20">
        <f t="shared" si="70"/>
        <v>100</v>
      </c>
      <c r="AB117" s="20">
        <v>40632</v>
      </c>
      <c r="AC117" s="20">
        <v>40632</v>
      </c>
      <c r="AD117" s="20">
        <f t="shared" si="71"/>
        <v>100</v>
      </c>
      <c r="AE117" s="20">
        <f t="shared" si="72"/>
        <v>81233</v>
      </c>
      <c r="AF117" s="20">
        <f t="shared" si="73"/>
        <v>81233</v>
      </c>
      <c r="AG117" s="187">
        <f t="shared" si="74"/>
        <v>100</v>
      </c>
      <c r="AH117" s="59" t="s">
        <v>424</v>
      </c>
      <c r="AI117" s="19" t="s">
        <v>504</v>
      </c>
      <c r="AL117" s="1" t="str">
        <f t="shared" si="79"/>
        <v/>
      </c>
      <c r="AM117" s="26">
        <f t="shared" si="75"/>
        <v>0</v>
      </c>
      <c r="AN117" s="26"/>
      <c r="AO117" s="26"/>
      <c r="AP117" s="181" t="s">
        <v>52</v>
      </c>
      <c r="AQ117" s="159">
        <v>44683</v>
      </c>
      <c r="AR117" s="159">
        <v>44683</v>
      </c>
      <c r="AS117" s="151">
        <f t="shared" si="76"/>
        <v>100</v>
      </c>
      <c r="AU117" s="26">
        <f t="shared" si="61"/>
        <v>6576</v>
      </c>
      <c r="AV117" s="26">
        <f t="shared" si="62"/>
        <v>6576</v>
      </c>
      <c r="AW117" s="26">
        <f t="shared" si="63"/>
        <v>0</v>
      </c>
      <c r="AX117" s="1">
        <v>2</v>
      </c>
    </row>
    <row r="118" spans="1:50" s="1" customFormat="1" x14ac:dyDescent="0.25">
      <c r="A118" s="173" t="s">
        <v>117</v>
      </c>
      <c r="B118" s="8">
        <v>8012814</v>
      </c>
      <c r="C118" s="8">
        <v>0</v>
      </c>
      <c r="D118" s="10">
        <v>1</v>
      </c>
      <c r="E118" s="10">
        <v>1</v>
      </c>
      <c r="F118" s="10"/>
      <c r="G118" s="10">
        <f t="shared" si="64"/>
        <v>77706</v>
      </c>
      <c r="H118" s="19">
        <f t="shared" si="65"/>
        <v>77706</v>
      </c>
      <c r="I118" s="19">
        <v>0</v>
      </c>
      <c r="J118" s="19">
        <v>80467</v>
      </c>
      <c r="K118" s="29">
        <f t="shared" si="66"/>
        <v>-3.5531361799603638</v>
      </c>
      <c r="L118" s="19" t="s">
        <v>58</v>
      </c>
      <c r="M118" s="23">
        <v>42775.590729166666</v>
      </c>
      <c r="N118" s="23"/>
      <c r="O118" s="179">
        <f t="shared" si="67"/>
        <v>100</v>
      </c>
      <c r="P118" s="19">
        <v>100</v>
      </c>
      <c r="Q118" s="19">
        <f t="shared" si="78"/>
        <v>0</v>
      </c>
      <c r="R118" s="19"/>
      <c r="S118" s="19">
        <f t="shared" si="80"/>
        <v>37915</v>
      </c>
      <c r="T118" s="19">
        <f t="shared" si="81"/>
        <v>37915</v>
      </c>
      <c r="U118" s="20">
        <f t="shared" si="68"/>
        <v>100</v>
      </c>
      <c r="V118" s="19">
        <v>39791</v>
      </c>
      <c r="W118" s="19">
        <v>39791</v>
      </c>
      <c r="X118" s="187">
        <f t="shared" si="69"/>
        <v>100</v>
      </c>
      <c r="Y118" s="20">
        <v>8732</v>
      </c>
      <c r="Z118" s="20">
        <v>8732</v>
      </c>
      <c r="AA118" s="20">
        <f t="shared" si="70"/>
        <v>100</v>
      </c>
      <c r="AB118" s="20">
        <v>29183</v>
      </c>
      <c r="AC118" s="20">
        <v>29183</v>
      </c>
      <c r="AD118" s="20">
        <f t="shared" si="71"/>
        <v>100</v>
      </c>
      <c r="AE118" s="20">
        <f t="shared" si="72"/>
        <v>68974</v>
      </c>
      <c r="AF118" s="20">
        <f t="shared" si="73"/>
        <v>68974</v>
      </c>
      <c r="AG118" s="187">
        <f t="shared" si="74"/>
        <v>100</v>
      </c>
      <c r="AH118" s="59" t="s">
        <v>409</v>
      </c>
      <c r="AI118" s="19" t="s">
        <v>52</v>
      </c>
      <c r="AJ118" s="1" t="s">
        <v>86</v>
      </c>
      <c r="AL118" s="1" t="str">
        <f t="shared" si="79"/>
        <v/>
      </c>
      <c r="AM118" s="26">
        <f t="shared" si="75"/>
        <v>0</v>
      </c>
      <c r="AO118" s="26">
        <v>3.1973875181422353</v>
      </c>
      <c r="AP118" s="181" t="s">
        <v>52</v>
      </c>
      <c r="AQ118" s="159">
        <v>37915</v>
      </c>
      <c r="AR118" s="159">
        <v>36518</v>
      </c>
      <c r="AS118" s="151">
        <f t="shared" si="76"/>
        <v>96.3154424370302</v>
      </c>
      <c r="AU118" s="26">
        <f t="shared" si="61"/>
        <v>0</v>
      </c>
      <c r="AV118" s="26">
        <f t="shared" si="62"/>
        <v>1397</v>
      </c>
      <c r="AW118" s="26">
        <f t="shared" si="63"/>
        <v>3.6845575629698004</v>
      </c>
      <c r="AX118" s="1">
        <v>4</v>
      </c>
    </row>
    <row r="119" spans="1:50" s="1" customFormat="1" x14ac:dyDescent="0.25">
      <c r="A119" s="141" t="s">
        <v>185</v>
      </c>
      <c r="B119" s="8">
        <v>7360738</v>
      </c>
      <c r="C119" s="8">
        <v>0</v>
      </c>
      <c r="D119" s="10">
        <v>1</v>
      </c>
      <c r="E119" s="10">
        <v>1</v>
      </c>
      <c r="F119" s="10"/>
      <c r="G119" s="10">
        <f t="shared" si="64"/>
        <v>101643</v>
      </c>
      <c r="H119" s="19">
        <f t="shared" si="65"/>
        <v>101643</v>
      </c>
      <c r="I119" s="19">
        <v>9881</v>
      </c>
      <c r="J119" s="19">
        <v>88762</v>
      </c>
      <c r="K119" s="29">
        <f t="shared" si="66"/>
        <v>12.672786123982959</v>
      </c>
      <c r="L119" s="19" t="s">
        <v>58</v>
      </c>
      <c r="M119" s="23"/>
      <c r="N119" s="23">
        <v>42352</v>
      </c>
      <c r="O119" s="179">
        <f t="shared" si="67"/>
        <v>100</v>
      </c>
      <c r="P119" s="19">
        <v>61.54</v>
      </c>
      <c r="Q119" s="19">
        <f t="shared" si="78"/>
        <v>38</v>
      </c>
      <c r="R119" s="19"/>
      <c r="S119" s="19">
        <f t="shared" si="80"/>
        <v>62406</v>
      </c>
      <c r="T119" s="19">
        <f t="shared" si="81"/>
        <v>62406</v>
      </c>
      <c r="U119" s="20">
        <f t="shared" si="68"/>
        <v>100</v>
      </c>
      <c r="V119" s="19">
        <v>39237</v>
      </c>
      <c r="W119" s="19">
        <v>39237</v>
      </c>
      <c r="X119" s="187">
        <f t="shared" si="69"/>
        <v>100</v>
      </c>
      <c r="Y119" s="19">
        <v>11253</v>
      </c>
      <c r="Z119" s="20">
        <v>11253</v>
      </c>
      <c r="AA119" s="20">
        <f t="shared" si="70"/>
        <v>100</v>
      </c>
      <c r="AB119" s="20">
        <v>51153</v>
      </c>
      <c r="AC119" s="20">
        <v>51153</v>
      </c>
      <c r="AD119" s="20">
        <f t="shared" si="71"/>
        <v>100</v>
      </c>
      <c r="AE119" s="20">
        <f t="shared" si="72"/>
        <v>90390</v>
      </c>
      <c r="AF119" s="20">
        <f t="shared" si="73"/>
        <v>90390</v>
      </c>
      <c r="AG119" s="187">
        <f t="shared" si="74"/>
        <v>100</v>
      </c>
      <c r="AH119" s="59" t="s">
        <v>513</v>
      </c>
      <c r="AI119" s="19" t="s">
        <v>252</v>
      </c>
      <c r="AJ119" s="1">
        <v>11</v>
      </c>
      <c r="AK119" s="1">
        <v>60</v>
      </c>
      <c r="AL119" s="1">
        <f t="shared" si="79"/>
        <v>660</v>
      </c>
      <c r="AM119" s="26">
        <f t="shared" si="75"/>
        <v>0</v>
      </c>
      <c r="AN119" s="26">
        <f>IF(AL119&gt;0,AM119/AL119,"")</f>
        <v>0</v>
      </c>
      <c r="AO119" s="26">
        <v>14.635714285714286</v>
      </c>
      <c r="AP119" s="181">
        <v>43465</v>
      </c>
      <c r="AQ119" s="159">
        <v>51153</v>
      </c>
      <c r="AR119" s="159">
        <v>51153</v>
      </c>
      <c r="AS119" s="151">
        <f t="shared" si="76"/>
        <v>100</v>
      </c>
      <c r="AU119" s="26">
        <f t="shared" si="61"/>
        <v>11253</v>
      </c>
      <c r="AV119" s="26">
        <f t="shared" si="62"/>
        <v>11253</v>
      </c>
      <c r="AW119" s="26">
        <f t="shared" si="63"/>
        <v>0</v>
      </c>
      <c r="AX119" s="1">
        <v>2</v>
      </c>
    </row>
    <row r="120" spans="1:50" s="1" customFormat="1" x14ac:dyDescent="0.25">
      <c r="A120" s="141" t="s">
        <v>301</v>
      </c>
      <c r="B120" s="8">
        <v>7162715</v>
      </c>
      <c r="C120" s="8">
        <v>0</v>
      </c>
      <c r="D120" s="10">
        <v>1</v>
      </c>
      <c r="E120" s="10">
        <v>1</v>
      </c>
      <c r="F120" s="10"/>
      <c r="G120" s="10">
        <f t="shared" si="64"/>
        <v>74595</v>
      </c>
      <c r="H120" s="19">
        <f t="shared" si="65"/>
        <v>74595</v>
      </c>
      <c r="I120" s="19">
        <v>0</v>
      </c>
      <c r="J120" s="19">
        <v>74546</v>
      </c>
      <c r="K120" s="29">
        <f t="shared" si="66"/>
        <v>6.5688048796836249E-2</v>
      </c>
      <c r="L120" s="19" t="s">
        <v>58</v>
      </c>
      <c r="M120" s="23"/>
      <c r="N120" s="23">
        <v>41060</v>
      </c>
      <c r="O120" s="179">
        <f t="shared" si="67"/>
        <v>100</v>
      </c>
      <c r="P120" s="19">
        <v>100</v>
      </c>
      <c r="Q120" s="19">
        <f t="shared" si="78"/>
        <v>0</v>
      </c>
      <c r="R120" s="19"/>
      <c r="S120" s="19">
        <f t="shared" si="80"/>
        <v>35429</v>
      </c>
      <c r="T120" s="19">
        <f t="shared" si="81"/>
        <v>35429</v>
      </c>
      <c r="U120" s="20">
        <f t="shared" si="68"/>
        <v>100</v>
      </c>
      <c r="V120" s="19">
        <v>39166</v>
      </c>
      <c r="W120" s="19">
        <v>39166</v>
      </c>
      <c r="X120" s="187">
        <f t="shared" si="69"/>
        <v>100</v>
      </c>
      <c r="Y120" s="19">
        <v>2101</v>
      </c>
      <c r="Z120" s="20">
        <v>2101</v>
      </c>
      <c r="AA120" s="20">
        <f t="shared" si="70"/>
        <v>100</v>
      </c>
      <c r="AB120" s="20">
        <v>33328</v>
      </c>
      <c r="AC120" s="20">
        <v>33328</v>
      </c>
      <c r="AD120" s="20">
        <f t="shared" si="71"/>
        <v>100</v>
      </c>
      <c r="AE120" s="20">
        <f t="shared" si="72"/>
        <v>72494</v>
      </c>
      <c r="AF120" s="20">
        <f t="shared" si="73"/>
        <v>72494</v>
      </c>
      <c r="AG120" s="187">
        <f t="shared" si="74"/>
        <v>100</v>
      </c>
      <c r="AH120" s="59" t="s">
        <v>390</v>
      </c>
      <c r="AI120" s="19" t="s">
        <v>516</v>
      </c>
      <c r="AL120" s="1" t="str">
        <f t="shared" si="79"/>
        <v/>
      </c>
      <c r="AM120" s="26">
        <f t="shared" si="75"/>
        <v>0</v>
      </c>
      <c r="AN120" s="26" t="e">
        <f>IF(AL120&gt;0,AM120/AL120,"")</f>
        <v>#VALUE!</v>
      </c>
      <c r="AO120" s="26">
        <v>290.44868735083531</v>
      </c>
      <c r="AP120" s="181" t="s">
        <v>52</v>
      </c>
      <c r="AQ120" s="159">
        <v>32756</v>
      </c>
      <c r="AR120" s="159">
        <v>32756</v>
      </c>
      <c r="AS120" s="151">
        <f t="shared" si="76"/>
        <v>100</v>
      </c>
      <c r="AU120" s="26">
        <f t="shared" si="61"/>
        <v>2673</v>
      </c>
      <c r="AV120" s="26">
        <f t="shared" si="62"/>
        <v>2673</v>
      </c>
      <c r="AW120" s="26">
        <f t="shared" si="63"/>
        <v>0</v>
      </c>
      <c r="AX120" s="1">
        <v>2</v>
      </c>
    </row>
    <row r="121" spans="1:50" s="1" customFormat="1" x14ac:dyDescent="0.25">
      <c r="A121" s="173" t="s">
        <v>286</v>
      </c>
      <c r="B121" s="8">
        <v>8070636</v>
      </c>
      <c r="C121" s="8">
        <v>0</v>
      </c>
      <c r="D121" s="10">
        <v>1</v>
      </c>
      <c r="E121" s="10">
        <v>1</v>
      </c>
      <c r="F121" s="10"/>
      <c r="G121" s="10">
        <f t="shared" si="64"/>
        <v>115438</v>
      </c>
      <c r="H121" s="19">
        <f t="shared" si="65"/>
        <v>115438</v>
      </c>
      <c r="I121" s="19">
        <v>0</v>
      </c>
      <c r="J121" s="19">
        <v>115969</v>
      </c>
      <c r="K121" s="29">
        <f t="shared" si="66"/>
        <v>-0.45998717926506005</v>
      </c>
      <c r="L121" s="19" t="s">
        <v>58</v>
      </c>
      <c r="M121" s="23">
        <v>42768.861770833333</v>
      </c>
      <c r="N121" s="23"/>
      <c r="O121" s="179">
        <f t="shared" si="67"/>
        <v>100</v>
      </c>
      <c r="P121" s="19">
        <v>100</v>
      </c>
      <c r="Q121" s="19">
        <f t="shared" si="78"/>
        <v>0</v>
      </c>
      <c r="R121" s="19"/>
      <c r="S121" s="19">
        <f t="shared" si="80"/>
        <v>76749</v>
      </c>
      <c r="T121" s="19">
        <f t="shared" si="81"/>
        <v>76749</v>
      </c>
      <c r="U121" s="20">
        <f t="shared" si="68"/>
        <v>100</v>
      </c>
      <c r="V121" s="19">
        <v>38689</v>
      </c>
      <c r="W121" s="19">
        <v>38689</v>
      </c>
      <c r="X121" s="187">
        <f t="shared" si="69"/>
        <v>100</v>
      </c>
      <c r="Y121" s="19">
        <v>37444</v>
      </c>
      <c r="Z121" s="20">
        <v>37444</v>
      </c>
      <c r="AA121" s="20">
        <f t="shared" si="70"/>
        <v>100</v>
      </c>
      <c r="AB121" s="20">
        <v>39305</v>
      </c>
      <c r="AC121" s="20">
        <v>39305</v>
      </c>
      <c r="AD121" s="20">
        <f t="shared" si="71"/>
        <v>100</v>
      </c>
      <c r="AE121" s="20">
        <f t="shared" si="72"/>
        <v>77994</v>
      </c>
      <c r="AF121" s="20">
        <f t="shared" si="73"/>
        <v>77994</v>
      </c>
      <c r="AG121" s="187">
        <f t="shared" si="74"/>
        <v>100</v>
      </c>
      <c r="AH121" s="59" t="s">
        <v>123</v>
      </c>
      <c r="AI121" s="19" t="s">
        <v>506</v>
      </c>
      <c r="AM121" s="26">
        <f t="shared" si="75"/>
        <v>0</v>
      </c>
      <c r="AN121" s="26"/>
      <c r="AO121" s="26"/>
      <c r="AP121" s="181" t="s">
        <v>52</v>
      </c>
      <c r="AQ121" s="159">
        <v>76439</v>
      </c>
      <c r="AR121" s="159">
        <v>76439</v>
      </c>
      <c r="AS121" s="151">
        <f t="shared" si="76"/>
        <v>100</v>
      </c>
      <c r="AU121" s="26">
        <f t="shared" si="61"/>
        <v>310</v>
      </c>
      <c r="AV121" s="26">
        <f t="shared" si="62"/>
        <v>310</v>
      </c>
      <c r="AW121" s="26">
        <f t="shared" si="63"/>
        <v>0</v>
      </c>
      <c r="AX121" s="1">
        <v>4</v>
      </c>
    </row>
    <row r="122" spans="1:50" s="1" customFormat="1" ht="15.75" customHeight="1" x14ac:dyDescent="0.25">
      <c r="A122" s="173" t="s">
        <v>299</v>
      </c>
      <c r="B122" s="8">
        <v>8013438</v>
      </c>
      <c r="C122" s="8">
        <v>0</v>
      </c>
      <c r="D122" s="10">
        <v>1</v>
      </c>
      <c r="E122" s="10">
        <v>1</v>
      </c>
      <c r="F122" s="10"/>
      <c r="G122" s="10">
        <f t="shared" si="64"/>
        <v>74327</v>
      </c>
      <c r="H122" s="19">
        <f t="shared" si="65"/>
        <v>74327</v>
      </c>
      <c r="I122" s="19">
        <v>0</v>
      </c>
      <c r="J122" s="19">
        <v>74429</v>
      </c>
      <c r="K122" s="29">
        <f t="shared" si="66"/>
        <v>-0.13723142330512467</v>
      </c>
      <c r="L122" s="19" t="s">
        <v>58</v>
      </c>
      <c r="M122" s="23">
        <v>42730.915543981479</v>
      </c>
      <c r="N122" s="23">
        <v>41590</v>
      </c>
      <c r="O122" s="179">
        <f t="shared" si="67"/>
        <v>100</v>
      </c>
      <c r="P122" s="19">
        <v>100</v>
      </c>
      <c r="Q122" s="19">
        <f t="shared" si="78"/>
        <v>0</v>
      </c>
      <c r="R122" s="19"/>
      <c r="S122" s="19">
        <f t="shared" si="80"/>
        <v>36360</v>
      </c>
      <c r="T122" s="19">
        <f t="shared" si="81"/>
        <v>36360</v>
      </c>
      <c r="U122" s="20">
        <f t="shared" si="68"/>
        <v>100</v>
      </c>
      <c r="V122" s="19">
        <v>37967</v>
      </c>
      <c r="W122" s="19">
        <v>37967</v>
      </c>
      <c r="X122" s="187">
        <f t="shared" si="69"/>
        <v>100</v>
      </c>
      <c r="Y122" s="19">
        <v>2500</v>
      </c>
      <c r="Z122" s="20">
        <v>2500</v>
      </c>
      <c r="AA122" s="20">
        <f t="shared" si="70"/>
        <v>100</v>
      </c>
      <c r="AB122" s="20">
        <v>33860</v>
      </c>
      <c r="AC122" s="20">
        <v>33860</v>
      </c>
      <c r="AD122" s="20">
        <f t="shared" si="71"/>
        <v>100</v>
      </c>
      <c r="AE122" s="20">
        <f t="shared" si="72"/>
        <v>71827</v>
      </c>
      <c r="AF122" s="20">
        <f t="shared" si="73"/>
        <v>71827</v>
      </c>
      <c r="AG122" s="187">
        <f t="shared" si="74"/>
        <v>100</v>
      </c>
      <c r="AH122" s="59" t="s">
        <v>387</v>
      </c>
      <c r="AI122" s="19" t="s">
        <v>52</v>
      </c>
      <c r="AL122" s="1" t="str">
        <f t="shared" ref="AL122:AL133" si="82">IF(AK122&gt;0,AK122*AJ122,"")</f>
        <v/>
      </c>
      <c r="AM122" s="26">
        <f t="shared" si="75"/>
        <v>0</v>
      </c>
      <c r="AN122" s="26"/>
      <c r="AO122" s="26"/>
      <c r="AP122" s="181" t="s">
        <v>52</v>
      </c>
      <c r="AQ122" s="159">
        <v>37575</v>
      </c>
      <c r="AR122" s="159">
        <v>37575</v>
      </c>
      <c r="AS122" s="151">
        <f t="shared" si="76"/>
        <v>100</v>
      </c>
      <c r="AU122" s="26">
        <f t="shared" si="61"/>
        <v>-1215</v>
      </c>
      <c r="AV122" s="26">
        <f t="shared" si="62"/>
        <v>-1215</v>
      </c>
      <c r="AW122" s="26">
        <f t="shared" si="63"/>
        <v>0</v>
      </c>
      <c r="AX122" s="1">
        <v>4</v>
      </c>
    </row>
    <row r="123" spans="1:50" s="1" customFormat="1" x14ac:dyDescent="0.25">
      <c r="A123" s="141" t="s">
        <v>306</v>
      </c>
      <c r="B123" s="8">
        <v>8057567</v>
      </c>
      <c r="C123" s="8">
        <v>0</v>
      </c>
      <c r="D123" s="10">
        <v>1</v>
      </c>
      <c r="E123" s="10">
        <v>1</v>
      </c>
      <c r="F123" s="10"/>
      <c r="G123" s="10">
        <f t="shared" si="64"/>
        <v>65093</v>
      </c>
      <c r="H123" s="19">
        <f t="shared" si="65"/>
        <v>65093</v>
      </c>
      <c r="I123" s="19">
        <v>0</v>
      </c>
      <c r="J123" s="19">
        <v>63356</v>
      </c>
      <c r="K123" s="29">
        <f t="shared" si="66"/>
        <v>2.6684896993532328</v>
      </c>
      <c r="L123" s="19" t="s">
        <v>58</v>
      </c>
      <c r="M123" s="23"/>
      <c r="N123" s="23" t="s">
        <v>79</v>
      </c>
      <c r="O123" s="179">
        <f t="shared" si="67"/>
        <v>100</v>
      </c>
      <c r="P123" s="19">
        <v>100</v>
      </c>
      <c r="Q123" s="19">
        <f t="shared" si="78"/>
        <v>0</v>
      </c>
      <c r="R123" s="19"/>
      <c r="S123" s="19">
        <f t="shared" si="80"/>
        <v>29140</v>
      </c>
      <c r="T123" s="19">
        <f t="shared" si="81"/>
        <v>29140</v>
      </c>
      <c r="U123" s="20">
        <f t="shared" si="68"/>
        <v>100</v>
      </c>
      <c r="V123" s="19">
        <v>35953</v>
      </c>
      <c r="W123" s="19">
        <v>35953</v>
      </c>
      <c r="X123" s="187">
        <f t="shared" si="69"/>
        <v>100</v>
      </c>
      <c r="Y123" s="19">
        <v>762</v>
      </c>
      <c r="Z123" s="20">
        <v>762</v>
      </c>
      <c r="AA123" s="20">
        <f t="shared" si="70"/>
        <v>100</v>
      </c>
      <c r="AB123" s="20">
        <v>28378</v>
      </c>
      <c r="AC123" s="20">
        <v>28378</v>
      </c>
      <c r="AD123" s="20">
        <f t="shared" si="71"/>
        <v>100</v>
      </c>
      <c r="AE123" s="20">
        <f t="shared" si="72"/>
        <v>64331</v>
      </c>
      <c r="AF123" s="20">
        <f t="shared" si="73"/>
        <v>64331</v>
      </c>
      <c r="AG123" s="187">
        <f t="shared" si="74"/>
        <v>100</v>
      </c>
      <c r="AH123" s="59" t="s">
        <v>398</v>
      </c>
      <c r="AI123" s="19" t="s">
        <v>52</v>
      </c>
      <c r="AL123" s="1" t="str">
        <f t="shared" si="82"/>
        <v/>
      </c>
      <c r="AM123" s="26">
        <f t="shared" si="75"/>
        <v>0</v>
      </c>
      <c r="AN123" s="26" t="e">
        <f>IF(AL123&gt;0,AM123/AL123,"")</f>
        <v>#VALUE!</v>
      </c>
      <c r="AO123" s="26">
        <v>30.338394793926248</v>
      </c>
      <c r="AP123" s="181" t="s">
        <v>52</v>
      </c>
      <c r="AQ123" s="159">
        <v>25018</v>
      </c>
      <c r="AR123" s="159">
        <v>25018</v>
      </c>
      <c r="AS123" s="151">
        <f t="shared" si="76"/>
        <v>100</v>
      </c>
      <c r="AU123" s="26">
        <f t="shared" si="61"/>
        <v>4122</v>
      </c>
      <c r="AV123" s="26">
        <f t="shared" si="62"/>
        <v>4122</v>
      </c>
      <c r="AW123" s="26">
        <f t="shared" si="63"/>
        <v>0</v>
      </c>
      <c r="AX123" s="1">
        <v>1</v>
      </c>
    </row>
    <row r="124" spans="1:50" s="1" customFormat="1" x14ac:dyDescent="0.25">
      <c r="A124" s="173" t="s">
        <v>296</v>
      </c>
      <c r="B124" s="8">
        <v>7239017</v>
      </c>
      <c r="C124" s="8">
        <v>0</v>
      </c>
      <c r="D124" s="10">
        <v>1</v>
      </c>
      <c r="E124" s="10">
        <v>1</v>
      </c>
      <c r="F124" s="10"/>
      <c r="G124" s="10">
        <f t="shared" si="64"/>
        <v>40717</v>
      </c>
      <c r="H124" s="19">
        <f t="shared" si="65"/>
        <v>40717</v>
      </c>
      <c r="I124" s="19">
        <v>0</v>
      </c>
      <c r="J124" s="19">
        <v>69024</v>
      </c>
      <c r="K124" s="29">
        <f t="shared" si="66"/>
        <v>-69.521330156936912</v>
      </c>
      <c r="L124" s="19" t="s">
        <v>58</v>
      </c>
      <c r="M124" s="23">
        <v>42772.482083333336</v>
      </c>
      <c r="N124" s="23"/>
      <c r="O124" s="179">
        <f t="shared" si="67"/>
        <v>100</v>
      </c>
      <c r="P124" s="19">
        <v>100</v>
      </c>
      <c r="Q124" s="19">
        <f t="shared" si="78"/>
        <v>0</v>
      </c>
      <c r="R124" s="19"/>
      <c r="S124" s="19">
        <f t="shared" si="80"/>
        <v>5109</v>
      </c>
      <c r="T124" s="19">
        <f t="shared" si="81"/>
        <v>5109</v>
      </c>
      <c r="U124" s="20">
        <f t="shared" si="68"/>
        <v>100</v>
      </c>
      <c r="V124" s="19">
        <v>35608</v>
      </c>
      <c r="W124" s="19">
        <v>35608</v>
      </c>
      <c r="X124" s="187">
        <f t="shared" si="69"/>
        <v>100</v>
      </c>
      <c r="Y124" s="19">
        <v>940</v>
      </c>
      <c r="Z124" s="20">
        <v>940</v>
      </c>
      <c r="AA124" s="20">
        <f t="shared" si="70"/>
        <v>100</v>
      </c>
      <c r="AB124" s="20">
        <v>4169</v>
      </c>
      <c r="AC124" s="20">
        <v>4169</v>
      </c>
      <c r="AD124" s="20">
        <f t="shared" si="71"/>
        <v>100</v>
      </c>
      <c r="AE124" s="20">
        <f t="shared" si="72"/>
        <v>39777</v>
      </c>
      <c r="AF124" s="20">
        <f t="shared" si="73"/>
        <v>39777</v>
      </c>
      <c r="AG124" s="187">
        <f t="shared" si="74"/>
        <v>100</v>
      </c>
      <c r="AH124" s="59" t="s">
        <v>384</v>
      </c>
      <c r="AI124" s="19" t="s">
        <v>52</v>
      </c>
      <c r="AL124" s="1" t="str">
        <f t="shared" si="82"/>
        <v/>
      </c>
      <c r="AM124" s="26">
        <f t="shared" si="75"/>
        <v>0</v>
      </c>
      <c r="AN124" s="26"/>
      <c r="AO124" s="26"/>
      <c r="AP124" s="181" t="s">
        <v>52</v>
      </c>
      <c r="AQ124" s="159">
        <v>28587</v>
      </c>
      <c r="AR124" s="159">
        <v>28587</v>
      </c>
      <c r="AS124" s="151">
        <f t="shared" si="76"/>
        <v>100</v>
      </c>
      <c r="AU124" s="26">
        <f t="shared" si="61"/>
        <v>-23478</v>
      </c>
      <c r="AV124" s="26">
        <f t="shared" si="62"/>
        <v>-23478</v>
      </c>
      <c r="AW124" s="26">
        <f t="shared" si="63"/>
        <v>0</v>
      </c>
      <c r="AX124" s="1">
        <v>4</v>
      </c>
    </row>
    <row r="125" spans="1:50" s="1" customFormat="1" x14ac:dyDescent="0.25">
      <c r="A125" s="141" t="s">
        <v>290</v>
      </c>
      <c r="B125" s="8">
        <v>687804</v>
      </c>
      <c r="C125" s="8">
        <v>0</v>
      </c>
      <c r="D125" s="10">
        <v>1</v>
      </c>
      <c r="E125" s="10">
        <v>1</v>
      </c>
      <c r="F125" s="10"/>
      <c r="G125" s="10">
        <f t="shared" si="64"/>
        <v>78494</v>
      </c>
      <c r="H125" s="19">
        <f t="shared" si="65"/>
        <v>78494</v>
      </c>
      <c r="I125" s="19">
        <v>0</v>
      </c>
      <c r="J125" s="19">
        <v>78510</v>
      </c>
      <c r="K125" s="29">
        <f t="shared" si="66"/>
        <v>-2.0383723596708026E-2</v>
      </c>
      <c r="L125" s="19" t="s">
        <v>58</v>
      </c>
      <c r="M125" s="23"/>
      <c r="N125" s="23" t="s">
        <v>73</v>
      </c>
      <c r="O125" s="179">
        <f t="shared" si="67"/>
        <v>100</v>
      </c>
      <c r="P125" s="19">
        <v>100</v>
      </c>
      <c r="Q125" s="19">
        <f t="shared" si="78"/>
        <v>0</v>
      </c>
      <c r="R125" s="19"/>
      <c r="S125" s="19">
        <f t="shared" si="80"/>
        <v>42927</v>
      </c>
      <c r="T125" s="19">
        <f t="shared" si="81"/>
        <v>42927</v>
      </c>
      <c r="U125" s="20">
        <f t="shared" si="68"/>
        <v>100</v>
      </c>
      <c r="V125" s="19">
        <v>35567</v>
      </c>
      <c r="W125" s="19">
        <v>35567</v>
      </c>
      <c r="X125" s="187">
        <f t="shared" si="69"/>
        <v>100</v>
      </c>
      <c r="Y125" s="19">
        <v>16059</v>
      </c>
      <c r="Z125" s="20">
        <v>16059</v>
      </c>
      <c r="AA125" s="20">
        <f t="shared" si="70"/>
        <v>100</v>
      </c>
      <c r="AB125" s="20">
        <v>26868</v>
      </c>
      <c r="AC125" s="20">
        <v>26868</v>
      </c>
      <c r="AD125" s="20">
        <f t="shared" si="71"/>
        <v>100</v>
      </c>
      <c r="AE125" s="20">
        <f t="shared" si="72"/>
        <v>62435</v>
      </c>
      <c r="AF125" s="20">
        <f t="shared" si="73"/>
        <v>62435</v>
      </c>
      <c r="AG125" s="187">
        <f t="shared" si="74"/>
        <v>100</v>
      </c>
      <c r="AH125" s="59" t="s">
        <v>374</v>
      </c>
      <c r="AI125" s="19" t="s">
        <v>52</v>
      </c>
      <c r="AL125" s="1" t="str">
        <f t="shared" si="82"/>
        <v/>
      </c>
      <c r="AM125" s="26">
        <f t="shared" si="75"/>
        <v>0</v>
      </c>
      <c r="AN125" s="26" t="e">
        <f>IF(AL125&gt;0,AM125/AL125,"")</f>
        <v>#VALUE!</v>
      </c>
      <c r="AO125" s="26">
        <v>21.29503676470588</v>
      </c>
      <c r="AP125" s="181" t="s">
        <v>52</v>
      </c>
      <c r="AQ125" s="159">
        <v>57384</v>
      </c>
      <c r="AR125" s="159">
        <v>57384</v>
      </c>
      <c r="AS125" s="151">
        <f t="shared" si="76"/>
        <v>100</v>
      </c>
      <c r="AU125" s="26">
        <f t="shared" si="61"/>
        <v>-14457</v>
      </c>
      <c r="AV125" s="26">
        <f t="shared" si="62"/>
        <v>-14457</v>
      </c>
      <c r="AW125" s="26">
        <f t="shared" si="63"/>
        <v>0</v>
      </c>
      <c r="AX125" s="1">
        <v>1</v>
      </c>
    </row>
    <row r="126" spans="1:50" s="1" customFormat="1" x14ac:dyDescent="0.25">
      <c r="A126" s="141" t="s">
        <v>291</v>
      </c>
      <c r="B126" s="8">
        <v>7215479</v>
      </c>
      <c r="C126" s="8">
        <v>0</v>
      </c>
      <c r="D126" s="10">
        <v>1</v>
      </c>
      <c r="E126" s="10">
        <v>1</v>
      </c>
      <c r="F126" s="10"/>
      <c r="G126" s="10">
        <f t="shared" si="64"/>
        <v>65081</v>
      </c>
      <c r="H126" s="19">
        <f t="shared" si="65"/>
        <v>65081</v>
      </c>
      <c r="I126" s="19">
        <v>0</v>
      </c>
      <c r="J126" s="19">
        <v>67434</v>
      </c>
      <c r="K126" s="29">
        <f t="shared" si="66"/>
        <v>-3.6154945375762511</v>
      </c>
      <c r="L126" s="19" t="s">
        <v>58</v>
      </c>
      <c r="M126" s="23">
        <v>42576.349814814814</v>
      </c>
      <c r="N126" s="23"/>
      <c r="O126" s="179">
        <f t="shared" si="67"/>
        <v>100</v>
      </c>
      <c r="P126" s="19">
        <v>100</v>
      </c>
      <c r="Q126" s="19">
        <f t="shared" si="78"/>
        <v>0</v>
      </c>
      <c r="R126" s="19"/>
      <c r="S126" s="19">
        <f t="shared" si="80"/>
        <v>29758</v>
      </c>
      <c r="T126" s="19">
        <f t="shared" si="81"/>
        <v>29758</v>
      </c>
      <c r="U126" s="20">
        <f t="shared" si="68"/>
        <v>100</v>
      </c>
      <c r="V126" s="19">
        <v>35323</v>
      </c>
      <c r="W126" s="19">
        <v>35323</v>
      </c>
      <c r="X126" s="187">
        <f t="shared" si="69"/>
        <v>100</v>
      </c>
      <c r="Y126" s="19">
        <v>8651</v>
      </c>
      <c r="Z126" s="20">
        <v>8651</v>
      </c>
      <c r="AA126" s="20">
        <f t="shared" si="70"/>
        <v>100</v>
      </c>
      <c r="AB126" s="20">
        <v>21107</v>
      </c>
      <c r="AC126" s="20">
        <v>21107</v>
      </c>
      <c r="AD126" s="20">
        <f t="shared" si="71"/>
        <v>100</v>
      </c>
      <c r="AE126" s="20">
        <f t="shared" si="72"/>
        <v>56430</v>
      </c>
      <c r="AF126" s="20">
        <f t="shared" si="73"/>
        <v>56430</v>
      </c>
      <c r="AG126" s="187">
        <f t="shared" si="74"/>
        <v>100</v>
      </c>
      <c r="AH126" s="59" t="s">
        <v>253</v>
      </c>
      <c r="AI126" s="19" t="s">
        <v>52</v>
      </c>
      <c r="AL126" s="1" t="str">
        <f t="shared" si="82"/>
        <v/>
      </c>
      <c r="AM126" s="26">
        <f t="shared" si="75"/>
        <v>0</v>
      </c>
      <c r="AN126" s="26"/>
      <c r="AO126" s="26"/>
      <c r="AP126" s="181" t="s">
        <v>52</v>
      </c>
      <c r="AQ126" s="159">
        <v>30794</v>
      </c>
      <c r="AR126" s="159">
        <v>30794</v>
      </c>
      <c r="AS126" s="151">
        <f t="shared" si="76"/>
        <v>100</v>
      </c>
      <c r="AU126" s="26">
        <f t="shared" si="61"/>
        <v>-1036</v>
      </c>
      <c r="AV126" s="26">
        <f t="shared" si="62"/>
        <v>-1036</v>
      </c>
      <c r="AW126" s="26">
        <f t="shared" si="63"/>
        <v>0</v>
      </c>
      <c r="AX126" s="1">
        <v>1</v>
      </c>
    </row>
    <row r="127" spans="1:50" s="1" customFormat="1" x14ac:dyDescent="0.25">
      <c r="A127" s="141" t="s">
        <v>165</v>
      </c>
      <c r="B127" s="8">
        <v>7188781</v>
      </c>
      <c r="C127" s="8">
        <v>0</v>
      </c>
      <c r="D127" s="10">
        <v>1</v>
      </c>
      <c r="E127" s="10">
        <v>1</v>
      </c>
      <c r="F127" s="10"/>
      <c r="G127" s="10">
        <f t="shared" si="64"/>
        <v>73728</v>
      </c>
      <c r="H127" s="19">
        <f t="shared" si="65"/>
        <v>73728</v>
      </c>
      <c r="I127" s="19">
        <v>419</v>
      </c>
      <c r="J127" s="19">
        <v>52954</v>
      </c>
      <c r="K127" s="29">
        <f t="shared" si="66"/>
        <v>28.176540798611111</v>
      </c>
      <c r="L127" s="19" t="s">
        <v>58</v>
      </c>
      <c r="M127" s="23"/>
      <c r="N127" s="23"/>
      <c r="O127" s="179">
        <f t="shared" si="67"/>
        <v>100</v>
      </c>
      <c r="P127" s="19">
        <v>63.2</v>
      </c>
      <c r="Q127" s="19">
        <f t="shared" si="78"/>
        <v>37</v>
      </c>
      <c r="R127" s="19"/>
      <c r="S127" s="19">
        <f t="shared" si="80"/>
        <v>38560</v>
      </c>
      <c r="T127" s="19">
        <f t="shared" si="81"/>
        <v>38560</v>
      </c>
      <c r="U127" s="20">
        <f t="shared" si="68"/>
        <v>100</v>
      </c>
      <c r="V127" s="19">
        <v>35168</v>
      </c>
      <c r="W127" s="19">
        <v>35168</v>
      </c>
      <c r="X127" s="187">
        <f t="shared" si="69"/>
        <v>100</v>
      </c>
      <c r="Y127" s="20">
        <v>4841</v>
      </c>
      <c r="Z127" s="20">
        <v>4841</v>
      </c>
      <c r="AA127" s="20">
        <f t="shared" si="70"/>
        <v>100</v>
      </c>
      <c r="AB127" s="20">
        <v>33719</v>
      </c>
      <c r="AC127" s="20">
        <v>33719</v>
      </c>
      <c r="AD127" s="20">
        <f t="shared" si="71"/>
        <v>100</v>
      </c>
      <c r="AE127" s="20">
        <f t="shared" si="72"/>
        <v>68887</v>
      </c>
      <c r="AF127" s="20">
        <f t="shared" si="73"/>
        <v>68887</v>
      </c>
      <c r="AG127" s="187">
        <f t="shared" si="74"/>
        <v>100</v>
      </c>
      <c r="AH127" s="59" t="s">
        <v>479</v>
      </c>
      <c r="AI127" s="19" t="s">
        <v>52</v>
      </c>
      <c r="AJ127" s="1">
        <v>4</v>
      </c>
      <c r="AK127" s="1">
        <v>27</v>
      </c>
      <c r="AL127" s="1">
        <f t="shared" si="82"/>
        <v>108</v>
      </c>
      <c r="AM127" s="26">
        <f t="shared" si="75"/>
        <v>0</v>
      </c>
      <c r="AN127" s="26"/>
      <c r="AO127" s="26"/>
      <c r="AP127" s="181" t="s">
        <v>485</v>
      </c>
      <c r="AQ127" s="159">
        <v>33083</v>
      </c>
      <c r="AR127" s="159">
        <v>20078</v>
      </c>
      <c r="AS127" s="151">
        <f t="shared" si="76"/>
        <v>60.68978024967506</v>
      </c>
      <c r="AU127" s="26">
        <f t="shared" si="61"/>
        <v>5477</v>
      </c>
      <c r="AV127" s="26">
        <f t="shared" si="62"/>
        <v>18482</v>
      </c>
      <c r="AW127" s="26">
        <f t="shared" si="63"/>
        <v>39.31021975032494</v>
      </c>
      <c r="AX127" s="1">
        <v>1</v>
      </c>
    </row>
    <row r="128" spans="1:50" s="1" customFormat="1" x14ac:dyDescent="0.25">
      <c r="A128" s="172" t="s">
        <v>143</v>
      </c>
      <c r="B128" s="8">
        <v>7186193</v>
      </c>
      <c r="C128" s="8">
        <v>0</v>
      </c>
      <c r="D128" s="10">
        <v>1</v>
      </c>
      <c r="E128" s="10">
        <v>1</v>
      </c>
      <c r="F128" s="10"/>
      <c r="G128" s="10">
        <f t="shared" si="64"/>
        <v>85704</v>
      </c>
      <c r="H128" s="19">
        <f t="shared" si="65"/>
        <v>85704</v>
      </c>
      <c r="I128" s="19">
        <v>436</v>
      </c>
      <c r="J128" s="19">
        <v>59862</v>
      </c>
      <c r="K128" s="29">
        <f t="shared" si="66"/>
        <v>30.152618314197703</v>
      </c>
      <c r="L128" s="19" t="s">
        <v>58</v>
      </c>
      <c r="M128" s="23">
        <v>42194.461701388886</v>
      </c>
      <c r="N128" s="23">
        <v>42662</v>
      </c>
      <c r="O128" s="179">
        <f t="shared" si="67"/>
        <v>100</v>
      </c>
      <c r="P128" s="19">
        <v>88</v>
      </c>
      <c r="Q128" s="19">
        <f t="shared" si="78"/>
        <v>12</v>
      </c>
      <c r="R128" s="19"/>
      <c r="S128" s="19">
        <f t="shared" si="80"/>
        <v>50560</v>
      </c>
      <c r="T128" s="19">
        <f t="shared" si="81"/>
        <v>50560</v>
      </c>
      <c r="U128" s="20">
        <f t="shared" si="68"/>
        <v>100</v>
      </c>
      <c r="V128" s="19">
        <v>35144</v>
      </c>
      <c r="W128" s="19">
        <v>35144</v>
      </c>
      <c r="X128" s="187">
        <f t="shared" si="69"/>
        <v>100</v>
      </c>
      <c r="Y128" s="20">
        <v>2534</v>
      </c>
      <c r="Z128" s="20">
        <v>2534</v>
      </c>
      <c r="AA128" s="20">
        <f t="shared" si="70"/>
        <v>100</v>
      </c>
      <c r="AB128" s="20">
        <v>48026</v>
      </c>
      <c r="AC128" s="20">
        <v>48026</v>
      </c>
      <c r="AD128" s="20">
        <f t="shared" si="71"/>
        <v>100</v>
      </c>
      <c r="AE128" s="20">
        <f t="shared" si="72"/>
        <v>83170</v>
      </c>
      <c r="AF128" s="20">
        <f t="shared" si="73"/>
        <v>83170</v>
      </c>
      <c r="AG128" s="187">
        <f t="shared" si="74"/>
        <v>100</v>
      </c>
      <c r="AH128" s="59" t="s">
        <v>51</v>
      </c>
      <c r="AI128" s="19" t="s">
        <v>52</v>
      </c>
      <c r="AJ128" s="1">
        <v>3</v>
      </c>
      <c r="AK128" s="1">
        <v>90</v>
      </c>
      <c r="AL128" s="1">
        <f t="shared" si="82"/>
        <v>270</v>
      </c>
      <c r="AM128" s="26">
        <f t="shared" si="75"/>
        <v>0</v>
      </c>
      <c r="AN128" s="26">
        <f>IF(AL128&gt;0,AM128/AL128,"")</f>
        <v>0</v>
      </c>
      <c r="AO128" s="26">
        <v>152.26024723487311</v>
      </c>
      <c r="AP128" s="181">
        <v>43220</v>
      </c>
      <c r="AQ128" s="159">
        <v>44384</v>
      </c>
      <c r="AR128" s="159">
        <v>29956</v>
      </c>
      <c r="AS128" s="151">
        <f t="shared" si="76"/>
        <v>67.492790194664735</v>
      </c>
      <c r="AU128" s="26">
        <f t="shared" si="61"/>
        <v>6176</v>
      </c>
      <c r="AV128" s="26">
        <f t="shared" si="62"/>
        <v>20604</v>
      </c>
      <c r="AW128" s="26">
        <f t="shared" si="63"/>
        <v>32.507209805335265</v>
      </c>
      <c r="AX128" s="1">
        <v>3</v>
      </c>
    </row>
    <row r="129" spans="1:50" s="1" customFormat="1" x14ac:dyDescent="0.25">
      <c r="A129" s="141" t="s">
        <v>136</v>
      </c>
      <c r="B129" s="8">
        <v>7212330</v>
      </c>
      <c r="C129" s="8">
        <v>0</v>
      </c>
      <c r="D129" s="10">
        <v>1</v>
      </c>
      <c r="E129" s="10">
        <v>1</v>
      </c>
      <c r="F129" s="10"/>
      <c r="G129" s="10">
        <f t="shared" si="64"/>
        <v>93142</v>
      </c>
      <c r="H129" s="19">
        <f t="shared" si="65"/>
        <v>93142</v>
      </c>
      <c r="I129" s="19">
        <v>506</v>
      </c>
      <c r="J129" s="19">
        <v>93253</v>
      </c>
      <c r="K129" s="29">
        <f t="shared" si="66"/>
        <v>-0.11917287582401065</v>
      </c>
      <c r="L129" s="19" t="s">
        <v>58</v>
      </c>
      <c r="M129" s="23"/>
      <c r="N129" s="23">
        <v>42766</v>
      </c>
      <c r="O129" s="179">
        <f t="shared" si="67"/>
        <v>100</v>
      </c>
      <c r="P129" s="19">
        <v>94.33</v>
      </c>
      <c r="Q129" s="19">
        <f t="shared" si="78"/>
        <v>6</v>
      </c>
      <c r="R129" s="19"/>
      <c r="S129" s="19">
        <f t="shared" si="80"/>
        <v>58209</v>
      </c>
      <c r="T129" s="19">
        <f t="shared" si="81"/>
        <v>58209</v>
      </c>
      <c r="U129" s="20">
        <f t="shared" si="68"/>
        <v>100</v>
      </c>
      <c r="V129" s="19">
        <v>34933</v>
      </c>
      <c r="W129" s="19">
        <v>34933</v>
      </c>
      <c r="X129" s="187">
        <f t="shared" si="69"/>
        <v>100</v>
      </c>
      <c r="Y129" s="19">
        <v>11177</v>
      </c>
      <c r="Z129" s="20">
        <v>11177</v>
      </c>
      <c r="AA129" s="20">
        <f t="shared" si="70"/>
        <v>100</v>
      </c>
      <c r="AB129" s="20">
        <v>47032</v>
      </c>
      <c r="AC129" s="20">
        <v>47032</v>
      </c>
      <c r="AD129" s="20">
        <f t="shared" si="71"/>
        <v>100</v>
      </c>
      <c r="AE129" s="20">
        <f t="shared" si="72"/>
        <v>81965</v>
      </c>
      <c r="AF129" s="20">
        <f t="shared" si="73"/>
        <v>81965</v>
      </c>
      <c r="AG129" s="187">
        <f t="shared" si="74"/>
        <v>100</v>
      </c>
      <c r="AH129" s="59" t="s">
        <v>379</v>
      </c>
      <c r="AI129" s="19" t="s">
        <v>534</v>
      </c>
      <c r="AJ129" s="1">
        <v>3</v>
      </c>
      <c r="AK129" s="1">
        <v>50</v>
      </c>
      <c r="AL129" s="1">
        <f t="shared" si="82"/>
        <v>150</v>
      </c>
      <c r="AM129" s="26">
        <f t="shared" si="75"/>
        <v>0</v>
      </c>
      <c r="AN129" s="26">
        <f>IF(AL129&gt;0,AM129/AL129,"")</f>
        <v>0</v>
      </c>
      <c r="AO129" s="26">
        <v>1.2114253710445255</v>
      </c>
      <c r="AP129" s="181" t="s">
        <v>52</v>
      </c>
      <c r="AQ129" s="159">
        <v>58006</v>
      </c>
      <c r="AR129" s="159">
        <v>58006</v>
      </c>
      <c r="AS129" s="151">
        <f t="shared" si="76"/>
        <v>100</v>
      </c>
      <c r="AU129" s="26">
        <f t="shared" si="61"/>
        <v>203</v>
      </c>
      <c r="AV129" s="26">
        <f t="shared" si="62"/>
        <v>203</v>
      </c>
      <c r="AW129" s="26">
        <f t="shared" si="63"/>
        <v>0</v>
      </c>
      <c r="AX129" s="1">
        <v>2</v>
      </c>
    </row>
    <row r="130" spans="1:50" s="1" customFormat="1" x14ac:dyDescent="0.25">
      <c r="A130" s="141" t="s">
        <v>305</v>
      </c>
      <c r="B130" s="8">
        <v>0</v>
      </c>
      <c r="C130" s="8">
        <v>0</v>
      </c>
      <c r="D130" s="10">
        <v>1</v>
      </c>
      <c r="E130" s="10">
        <v>1</v>
      </c>
      <c r="F130" s="10"/>
      <c r="G130" s="10">
        <f t="shared" si="64"/>
        <v>60572</v>
      </c>
      <c r="H130" s="19">
        <f t="shared" si="65"/>
        <v>60572</v>
      </c>
      <c r="I130" s="19">
        <v>0</v>
      </c>
      <c r="J130" s="19">
        <v>58227</v>
      </c>
      <c r="K130" s="29">
        <f t="shared" si="66"/>
        <v>3.8714257412665916</v>
      </c>
      <c r="L130" s="19" t="s">
        <v>58</v>
      </c>
      <c r="M130" s="23"/>
      <c r="N130" s="23">
        <v>42473</v>
      </c>
      <c r="O130" s="179">
        <f t="shared" si="67"/>
        <v>100</v>
      </c>
      <c r="P130" s="19">
        <v>100</v>
      </c>
      <c r="Q130" s="19">
        <f t="shared" si="78"/>
        <v>0</v>
      </c>
      <c r="R130" s="19"/>
      <c r="S130" s="19">
        <f t="shared" si="80"/>
        <v>26084</v>
      </c>
      <c r="T130" s="19">
        <f t="shared" si="81"/>
        <v>26084</v>
      </c>
      <c r="U130" s="20">
        <f t="shared" si="68"/>
        <v>100</v>
      </c>
      <c r="V130" s="19">
        <v>34488</v>
      </c>
      <c r="W130" s="19">
        <v>34488</v>
      </c>
      <c r="X130" s="187">
        <f t="shared" si="69"/>
        <v>100</v>
      </c>
      <c r="Y130" s="19">
        <v>520</v>
      </c>
      <c r="Z130" s="20">
        <v>520</v>
      </c>
      <c r="AA130" s="20">
        <f t="shared" si="70"/>
        <v>100</v>
      </c>
      <c r="AB130" s="20">
        <v>25564</v>
      </c>
      <c r="AC130" s="20">
        <v>25564</v>
      </c>
      <c r="AD130" s="20">
        <f t="shared" si="71"/>
        <v>100</v>
      </c>
      <c r="AE130" s="20">
        <f t="shared" si="72"/>
        <v>60052</v>
      </c>
      <c r="AF130" s="20">
        <f t="shared" si="73"/>
        <v>60052</v>
      </c>
      <c r="AG130" s="187">
        <f t="shared" si="74"/>
        <v>100</v>
      </c>
      <c r="AH130" s="59" t="s">
        <v>397</v>
      </c>
      <c r="AI130" s="19" t="s">
        <v>482</v>
      </c>
      <c r="AL130" s="1" t="str">
        <f t="shared" si="82"/>
        <v/>
      </c>
      <c r="AM130" s="26">
        <f t="shared" si="75"/>
        <v>0</v>
      </c>
      <c r="AN130" s="26"/>
      <c r="AO130" s="26"/>
      <c r="AP130" s="181" t="s">
        <v>52</v>
      </c>
      <c r="AQ130" s="159">
        <v>28008</v>
      </c>
      <c r="AR130" s="159">
        <v>28008</v>
      </c>
      <c r="AS130" s="151">
        <f t="shared" si="76"/>
        <v>100</v>
      </c>
      <c r="AU130" s="26">
        <f t="shared" ref="AU130:AU161" si="83">S130-AQ130</f>
        <v>-1924</v>
      </c>
      <c r="AV130" s="26">
        <f t="shared" ref="AV130:AV161" si="84">T130-AR130</f>
        <v>-1924</v>
      </c>
      <c r="AW130" s="26">
        <f t="shared" ref="AW130:AW161" si="85">U130-AS130</f>
        <v>0</v>
      </c>
      <c r="AX130" s="1">
        <v>2</v>
      </c>
    </row>
    <row r="131" spans="1:50" s="1" customFormat="1" ht="16.5" customHeight="1" x14ac:dyDescent="0.25">
      <c r="A131" s="141" t="s">
        <v>303</v>
      </c>
      <c r="B131" s="8">
        <v>7353561</v>
      </c>
      <c r="C131" s="8">
        <v>0</v>
      </c>
      <c r="D131" s="10">
        <v>1</v>
      </c>
      <c r="E131" s="10">
        <v>1</v>
      </c>
      <c r="F131" s="10"/>
      <c r="G131" s="10">
        <f t="shared" si="64"/>
        <v>67216</v>
      </c>
      <c r="H131" s="19">
        <f t="shared" si="65"/>
        <v>67216</v>
      </c>
      <c r="I131" s="19">
        <v>0</v>
      </c>
      <c r="J131" s="19">
        <v>69781</v>
      </c>
      <c r="K131" s="29">
        <f t="shared" si="66"/>
        <v>-3.8160557010235658</v>
      </c>
      <c r="L131" s="19" t="s">
        <v>58</v>
      </c>
      <c r="M131" s="23">
        <v>41402.618391203701</v>
      </c>
      <c r="N131" s="23">
        <v>42753</v>
      </c>
      <c r="O131" s="179">
        <f t="shared" si="67"/>
        <v>100</v>
      </c>
      <c r="P131" s="19">
        <v>100</v>
      </c>
      <c r="Q131" s="19">
        <f t="shared" si="78"/>
        <v>0</v>
      </c>
      <c r="R131" s="19"/>
      <c r="S131" s="19">
        <f t="shared" si="80"/>
        <v>32773</v>
      </c>
      <c r="T131" s="19">
        <f t="shared" si="81"/>
        <v>32773</v>
      </c>
      <c r="U131" s="20">
        <f t="shared" si="68"/>
        <v>100</v>
      </c>
      <c r="V131" s="19">
        <v>34443</v>
      </c>
      <c r="W131" s="19">
        <v>34443</v>
      </c>
      <c r="X131" s="187">
        <f t="shared" si="69"/>
        <v>100</v>
      </c>
      <c r="Y131" s="19">
        <v>9743</v>
      </c>
      <c r="Z131" s="20">
        <v>9743</v>
      </c>
      <c r="AA131" s="20">
        <f t="shared" si="70"/>
        <v>100</v>
      </c>
      <c r="AB131" s="20">
        <v>23030</v>
      </c>
      <c r="AC131" s="20">
        <v>23030</v>
      </c>
      <c r="AD131" s="20">
        <f t="shared" si="71"/>
        <v>100</v>
      </c>
      <c r="AE131" s="20">
        <f t="shared" si="72"/>
        <v>57473</v>
      </c>
      <c r="AF131" s="20">
        <f t="shared" si="73"/>
        <v>57473</v>
      </c>
      <c r="AG131" s="187">
        <f t="shared" si="74"/>
        <v>100</v>
      </c>
      <c r="AH131" s="59" t="s">
        <v>392</v>
      </c>
      <c r="AI131" s="19" t="s">
        <v>52</v>
      </c>
      <c r="AL131" s="1" t="str">
        <f t="shared" si="82"/>
        <v/>
      </c>
      <c r="AM131" s="26">
        <f t="shared" si="75"/>
        <v>0</v>
      </c>
      <c r="AN131" s="26"/>
      <c r="AO131" s="26"/>
      <c r="AP131" s="181" t="s">
        <v>52</v>
      </c>
      <c r="AQ131" s="159">
        <v>32773</v>
      </c>
      <c r="AR131" s="159">
        <v>32773</v>
      </c>
      <c r="AS131" s="151">
        <f t="shared" si="76"/>
        <v>100</v>
      </c>
      <c r="AU131" s="26">
        <f t="shared" si="83"/>
        <v>0</v>
      </c>
      <c r="AV131" s="26">
        <f t="shared" si="84"/>
        <v>0</v>
      </c>
      <c r="AW131" s="26">
        <f t="shared" si="85"/>
        <v>0</v>
      </c>
      <c r="AX131" s="1">
        <v>2</v>
      </c>
    </row>
    <row r="132" spans="1:50" s="1" customFormat="1" ht="15.75" customHeight="1" x14ac:dyDescent="0.25">
      <c r="A132" s="141" t="s">
        <v>114</v>
      </c>
      <c r="B132" s="8">
        <v>7254628</v>
      </c>
      <c r="C132" s="8">
        <v>0</v>
      </c>
      <c r="D132" s="10">
        <v>1</v>
      </c>
      <c r="E132" s="10">
        <v>1</v>
      </c>
      <c r="F132" s="10"/>
      <c r="G132" s="10">
        <f t="shared" ref="G132:G163" si="86">SUM(S132,V132)</f>
        <v>79692</v>
      </c>
      <c r="H132" s="19">
        <f t="shared" ref="H132:H163" si="87">SUM(T132,W132)</f>
        <v>79692</v>
      </c>
      <c r="I132" s="19">
        <v>0</v>
      </c>
      <c r="J132" s="19">
        <v>67608</v>
      </c>
      <c r="K132" s="29">
        <f t="shared" ref="K132:K163" si="88">(H132-J132)/H132*100</f>
        <v>15.163379009185363</v>
      </c>
      <c r="L132" s="19" t="s">
        <v>58</v>
      </c>
      <c r="M132" s="23"/>
      <c r="N132" s="23" t="s">
        <v>61</v>
      </c>
      <c r="O132" s="179">
        <f t="shared" ref="O132:O163" si="89">IFERROR(100*H132/G132,"")</f>
        <v>100</v>
      </c>
      <c r="P132" s="19">
        <v>100</v>
      </c>
      <c r="Q132" s="19">
        <f t="shared" si="78"/>
        <v>0</v>
      </c>
      <c r="R132" s="19"/>
      <c r="S132" s="19">
        <f t="shared" si="80"/>
        <v>45843</v>
      </c>
      <c r="T132" s="19">
        <f t="shared" si="81"/>
        <v>45843</v>
      </c>
      <c r="U132" s="20">
        <f t="shared" ref="U132:U163" si="90">IFERROR(T132/S132*100,"")</f>
        <v>100</v>
      </c>
      <c r="V132" s="60">
        <v>33849</v>
      </c>
      <c r="W132" s="60">
        <v>33849</v>
      </c>
      <c r="X132" s="187">
        <f t="shared" ref="X132:X163" si="91">IFERROR(W132/V132*100,"")</f>
        <v>100</v>
      </c>
      <c r="Y132" s="20">
        <v>12654</v>
      </c>
      <c r="Z132" s="20">
        <v>12654</v>
      </c>
      <c r="AA132" s="20">
        <f t="shared" ref="AA132:AA163" si="92">IFERROR(Z132/Y132*100,"")</f>
        <v>100</v>
      </c>
      <c r="AB132" s="20">
        <v>33189</v>
      </c>
      <c r="AC132" s="20">
        <v>33189</v>
      </c>
      <c r="AD132" s="20">
        <f t="shared" ref="AD132:AD163" si="93">IFERROR(AC132/AB132*100,"")</f>
        <v>100</v>
      </c>
      <c r="AE132" s="20">
        <f t="shared" ref="AE132:AE163" si="94">AB132+V132</f>
        <v>67038</v>
      </c>
      <c r="AF132" s="20">
        <f t="shared" ref="AF132:AF163" si="95">AC132+W132</f>
        <v>67038</v>
      </c>
      <c r="AG132" s="187">
        <f t="shared" ref="AG132:AG163" si="96">IFERROR(AF132/AE132*100,"")</f>
        <v>100</v>
      </c>
      <c r="AH132" s="59" t="s">
        <v>460</v>
      </c>
      <c r="AI132" s="19" t="s">
        <v>52</v>
      </c>
      <c r="AJ132" s="1" t="s">
        <v>86</v>
      </c>
      <c r="AL132" s="1" t="str">
        <f t="shared" si="82"/>
        <v/>
      </c>
      <c r="AM132" s="26">
        <f t="shared" ref="AM132:AM163" si="97">G132-H132</f>
        <v>0</v>
      </c>
      <c r="AN132" s="26"/>
      <c r="AO132" s="26">
        <v>436.15289256198344</v>
      </c>
      <c r="AP132" s="181" t="s">
        <v>52</v>
      </c>
      <c r="AQ132" s="159">
        <v>33841</v>
      </c>
      <c r="AR132" s="159">
        <v>16041</v>
      </c>
      <c r="AS132" s="151">
        <f t="shared" ref="AS132:AS163" si="98">IFERROR(AR132/AQ132*100,"")</f>
        <v>47.40108152832363</v>
      </c>
      <c r="AU132" s="26">
        <f t="shared" si="83"/>
        <v>12002</v>
      </c>
      <c r="AV132" s="26">
        <f t="shared" si="84"/>
        <v>29802</v>
      </c>
      <c r="AW132" s="26">
        <f t="shared" si="85"/>
        <v>52.59891847167637</v>
      </c>
      <c r="AX132" s="1">
        <v>1</v>
      </c>
    </row>
    <row r="133" spans="1:50" s="1" customFormat="1" ht="15.75" customHeight="1" x14ac:dyDescent="0.25">
      <c r="A133" s="142" t="s">
        <v>151</v>
      </c>
      <c r="B133">
        <v>7193807</v>
      </c>
      <c r="C133" s="8">
        <v>1</v>
      </c>
      <c r="D133" s="10">
        <v>1</v>
      </c>
      <c r="E133" s="13">
        <v>1</v>
      </c>
      <c r="F133" s="13"/>
      <c r="G133" s="10">
        <f t="shared" si="86"/>
        <v>45356</v>
      </c>
      <c r="H133" s="19">
        <f t="shared" si="87"/>
        <v>45356</v>
      </c>
      <c r="I133" s="19">
        <v>600</v>
      </c>
      <c r="J133" s="19">
        <v>40650</v>
      </c>
      <c r="K133" s="29">
        <f t="shared" si="88"/>
        <v>10.375694505688331</v>
      </c>
      <c r="L133" s="19" t="s">
        <v>58</v>
      </c>
      <c r="M133" s="23"/>
      <c r="N133" s="23">
        <v>42697</v>
      </c>
      <c r="O133" s="179">
        <f t="shared" si="89"/>
        <v>100</v>
      </c>
      <c r="P133" s="21">
        <v>98.5</v>
      </c>
      <c r="Q133" s="19">
        <f t="shared" si="78"/>
        <v>2</v>
      </c>
      <c r="R133" s="19"/>
      <c r="S133" s="19">
        <f t="shared" si="80"/>
        <v>11645</v>
      </c>
      <c r="T133" s="19">
        <f t="shared" si="81"/>
        <v>11645</v>
      </c>
      <c r="U133" s="20">
        <f t="shared" si="90"/>
        <v>100</v>
      </c>
      <c r="V133" s="19">
        <v>33711</v>
      </c>
      <c r="W133" s="22">
        <v>33711</v>
      </c>
      <c r="X133" s="20">
        <f t="shared" si="91"/>
        <v>100</v>
      </c>
      <c r="Y133" s="20">
        <v>0</v>
      </c>
      <c r="Z133" s="20">
        <v>0</v>
      </c>
      <c r="AA133" s="20" t="str">
        <f t="shared" si="92"/>
        <v/>
      </c>
      <c r="AB133" s="20">
        <v>11645</v>
      </c>
      <c r="AC133" s="20">
        <v>11645</v>
      </c>
      <c r="AD133" s="20">
        <f t="shared" si="93"/>
        <v>100</v>
      </c>
      <c r="AE133" s="20">
        <f t="shared" si="94"/>
        <v>45356</v>
      </c>
      <c r="AF133" s="20">
        <f t="shared" si="95"/>
        <v>45356</v>
      </c>
      <c r="AG133" s="20">
        <f t="shared" si="96"/>
        <v>100</v>
      </c>
      <c r="AH133" s="59" t="s">
        <v>538</v>
      </c>
      <c r="AI133" s="19" t="s">
        <v>51</v>
      </c>
      <c r="AL133" s="1" t="str">
        <f t="shared" si="82"/>
        <v/>
      </c>
      <c r="AM133" s="26">
        <f t="shared" si="97"/>
        <v>0</v>
      </c>
      <c r="AN133" s="26" t="e">
        <f>IF(AL133&gt;0,AM133/AL133,"")</f>
        <v>#VALUE!</v>
      </c>
      <c r="AO133" s="26">
        <v>13.715096481271283</v>
      </c>
      <c r="AP133" s="181">
        <v>43190</v>
      </c>
      <c r="AQ133" s="159">
        <v>11645</v>
      </c>
      <c r="AR133" s="22">
        <v>9370</v>
      </c>
      <c r="AS133" s="151">
        <f t="shared" si="98"/>
        <v>80.463718334048949</v>
      </c>
      <c r="AU133" s="26">
        <f t="shared" si="83"/>
        <v>0</v>
      </c>
      <c r="AV133" s="26">
        <f t="shared" si="84"/>
        <v>2275</v>
      </c>
      <c r="AW133" s="26">
        <f t="shared" si="85"/>
        <v>19.536281665951051</v>
      </c>
      <c r="AX133" s="1">
        <v>2</v>
      </c>
    </row>
    <row r="134" spans="1:50" s="1" customFormat="1" x14ac:dyDescent="0.25">
      <c r="A134" s="142" t="s">
        <v>90</v>
      </c>
      <c r="B134" t="s">
        <v>244</v>
      </c>
      <c r="C134" s="8">
        <v>1</v>
      </c>
      <c r="D134" s="10">
        <v>1</v>
      </c>
      <c r="E134" s="13">
        <v>1</v>
      </c>
      <c r="F134"/>
      <c r="G134" s="10">
        <f t="shared" si="86"/>
        <v>33492</v>
      </c>
      <c r="H134" s="19">
        <f t="shared" si="87"/>
        <v>33492</v>
      </c>
      <c r="I134" s="19">
        <v>-163</v>
      </c>
      <c r="J134" s="19">
        <v>717</v>
      </c>
      <c r="K134" s="29">
        <f t="shared" si="88"/>
        <v>97.859190254389105</v>
      </c>
      <c r="L134" s="19" t="s">
        <v>58</v>
      </c>
      <c r="M134" s="13"/>
      <c r="N134" s="13"/>
      <c r="O134" s="179">
        <f t="shared" si="89"/>
        <v>100</v>
      </c>
      <c r="P134"/>
      <c r="Q134"/>
      <c r="R134" s="19"/>
      <c r="S134" s="19">
        <f t="shared" si="80"/>
        <v>0</v>
      </c>
      <c r="T134" s="19">
        <f t="shared" si="81"/>
        <v>0</v>
      </c>
      <c r="U134" s="20" t="str">
        <f t="shared" si="90"/>
        <v/>
      </c>
      <c r="V134" s="19">
        <v>33492</v>
      </c>
      <c r="W134">
        <v>33492</v>
      </c>
      <c r="X134" s="20">
        <f t="shared" si="91"/>
        <v>100</v>
      </c>
      <c r="Y134" s="20">
        <v>0</v>
      </c>
      <c r="Z134" s="20">
        <v>0</v>
      </c>
      <c r="AA134" s="20" t="str">
        <f t="shared" si="92"/>
        <v/>
      </c>
      <c r="AB134" s="20">
        <v>0</v>
      </c>
      <c r="AC134" s="20">
        <v>0</v>
      </c>
      <c r="AD134" s="20" t="str">
        <f t="shared" si="93"/>
        <v/>
      </c>
      <c r="AE134" s="20">
        <f t="shared" si="94"/>
        <v>33492</v>
      </c>
      <c r="AF134" s="20">
        <f t="shared" si="95"/>
        <v>33492</v>
      </c>
      <c r="AG134" s="20">
        <f t="shared" si="96"/>
        <v>100</v>
      </c>
      <c r="AH134" s="59" t="s">
        <v>544</v>
      </c>
      <c r="AI134" s="19" t="s">
        <v>559</v>
      </c>
      <c r="AJ134"/>
      <c r="AK134"/>
      <c r="AL134"/>
      <c r="AM134" s="26">
        <f t="shared" si="97"/>
        <v>0</v>
      </c>
      <c r="AN134"/>
      <c r="AO134" s="26">
        <v>613.306748466258</v>
      </c>
      <c r="AP134" s="181">
        <v>43830</v>
      </c>
      <c r="AQ134" s="159">
        <v>0</v>
      </c>
      <c r="AR134">
        <v>0</v>
      </c>
      <c r="AS134" s="151" t="str">
        <f t="shared" si="98"/>
        <v/>
      </c>
      <c r="AT134"/>
      <c r="AU134" s="26">
        <f t="shared" si="83"/>
        <v>0</v>
      </c>
      <c r="AV134" s="26">
        <f t="shared" si="84"/>
        <v>0</v>
      </c>
      <c r="AW134" s="26" t="e">
        <f t="shared" si="85"/>
        <v>#VALUE!</v>
      </c>
      <c r="AX134" s="1">
        <v>1</v>
      </c>
    </row>
    <row r="135" spans="1:50" s="1" customFormat="1" x14ac:dyDescent="0.25">
      <c r="A135" s="141" t="s">
        <v>310</v>
      </c>
      <c r="B135" s="8">
        <v>7353553</v>
      </c>
      <c r="C135" s="8">
        <v>0</v>
      </c>
      <c r="D135" s="10">
        <v>1</v>
      </c>
      <c r="E135" s="10">
        <v>1</v>
      </c>
      <c r="F135" s="10"/>
      <c r="G135" s="10">
        <f t="shared" si="86"/>
        <v>60160</v>
      </c>
      <c r="H135" s="19">
        <f t="shared" si="87"/>
        <v>60160</v>
      </c>
      <c r="I135" s="19">
        <v>0</v>
      </c>
      <c r="J135" s="19">
        <v>60236</v>
      </c>
      <c r="K135" s="29">
        <f t="shared" si="88"/>
        <v>-0.12632978723404256</v>
      </c>
      <c r="L135" s="19" t="s">
        <v>58</v>
      </c>
      <c r="M135" s="23">
        <v>41050.433912037035</v>
      </c>
      <c r="N135" s="23"/>
      <c r="O135" s="179">
        <f t="shared" si="89"/>
        <v>100</v>
      </c>
      <c r="P135" s="19">
        <v>100</v>
      </c>
      <c r="Q135" s="19">
        <f t="shared" ref="Q135:Q145" si="99">ROUND(O135-P135,0)</f>
        <v>0</v>
      </c>
      <c r="R135" s="19"/>
      <c r="S135" s="19">
        <f t="shared" si="80"/>
        <v>26710</v>
      </c>
      <c r="T135" s="19">
        <f t="shared" si="81"/>
        <v>26710</v>
      </c>
      <c r="U135" s="20">
        <f t="shared" si="90"/>
        <v>100</v>
      </c>
      <c r="V135" s="19">
        <v>33450</v>
      </c>
      <c r="W135" s="19">
        <v>33450</v>
      </c>
      <c r="X135" s="187">
        <f t="shared" si="91"/>
        <v>100</v>
      </c>
      <c r="Y135" s="19">
        <v>1274</v>
      </c>
      <c r="Z135" s="20">
        <v>1274</v>
      </c>
      <c r="AA135" s="20">
        <f t="shared" si="92"/>
        <v>100</v>
      </c>
      <c r="AB135" s="20">
        <v>25436</v>
      </c>
      <c r="AC135" s="20">
        <v>25436</v>
      </c>
      <c r="AD135" s="20">
        <f t="shared" si="93"/>
        <v>100</v>
      </c>
      <c r="AE135" s="20">
        <f t="shared" si="94"/>
        <v>58886</v>
      </c>
      <c r="AF135" s="20">
        <f t="shared" si="95"/>
        <v>58886</v>
      </c>
      <c r="AG135" s="187">
        <f t="shared" si="96"/>
        <v>100</v>
      </c>
      <c r="AH135" s="59" t="s">
        <v>401</v>
      </c>
      <c r="AI135" s="19" t="s">
        <v>539</v>
      </c>
      <c r="AL135" s="1" t="str">
        <f t="shared" ref="AL135:AL145" si="100">IF(AK135&gt;0,AK135*AJ135,"")</f>
        <v/>
      </c>
      <c r="AM135" s="26">
        <f t="shared" si="97"/>
        <v>0</v>
      </c>
      <c r="AN135" s="26"/>
      <c r="AO135" s="26"/>
      <c r="AP135" s="181" t="s">
        <v>52</v>
      </c>
      <c r="AQ135" s="159">
        <v>16726</v>
      </c>
      <c r="AR135" s="159">
        <v>16726</v>
      </c>
      <c r="AS135" s="151">
        <f t="shared" si="98"/>
        <v>100</v>
      </c>
      <c r="AU135" s="26">
        <f t="shared" si="83"/>
        <v>9984</v>
      </c>
      <c r="AV135" s="26">
        <f t="shared" si="84"/>
        <v>9984</v>
      </c>
      <c r="AW135" s="26">
        <f t="shared" si="85"/>
        <v>0</v>
      </c>
      <c r="AX135" s="1">
        <v>1</v>
      </c>
    </row>
    <row r="136" spans="1:50" s="1" customFormat="1" x14ac:dyDescent="0.25">
      <c r="A136" s="141" t="s">
        <v>304</v>
      </c>
      <c r="B136" s="8">
        <v>7171820</v>
      </c>
      <c r="C136" s="8">
        <v>0</v>
      </c>
      <c r="D136" s="10">
        <v>1</v>
      </c>
      <c r="E136" s="10">
        <v>1</v>
      </c>
      <c r="F136" s="10"/>
      <c r="G136" s="10">
        <f t="shared" si="86"/>
        <v>61404</v>
      </c>
      <c r="H136" s="19">
        <f t="shared" si="87"/>
        <v>61404</v>
      </c>
      <c r="I136" s="19">
        <v>0</v>
      </c>
      <c r="J136" s="19">
        <v>20785</v>
      </c>
      <c r="K136" s="29">
        <f t="shared" si="88"/>
        <v>66.150413653833624</v>
      </c>
      <c r="L136" s="19" t="s">
        <v>58</v>
      </c>
      <c r="M136" s="23"/>
      <c r="N136" s="23" t="s">
        <v>65</v>
      </c>
      <c r="O136" s="179">
        <f t="shared" si="89"/>
        <v>100</v>
      </c>
      <c r="P136" s="19">
        <v>91.27</v>
      </c>
      <c r="Q136" s="19">
        <f t="shared" si="99"/>
        <v>9</v>
      </c>
      <c r="R136" s="19"/>
      <c r="S136" s="19">
        <f t="shared" si="80"/>
        <v>28068</v>
      </c>
      <c r="T136" s="19">
        <f t="shared" si="81"/>
        <v>28068</v>
      </c>
      <c r="U136" s="20">
        <f t="shared" si="90"/>
        <v>100</v>
      </c>
      <c r="V136" s="19">
        <v>33336</v>
      </c>
      <c r="W136" s="19">
        <v>33336</v>
      </c>
      <c r="X136" s="187">
        <f t="shared" si="91"/>
        <v>100</v>
      </c>
      <c r="Y136" s="19">
        <v>9395</v>
      </c>
      <c r="Z136" s="20">
        <v>9395</v>
      </c>
      <c r="AA136" s="20">
        <f t="shared" si="92"/>
        <v>100</v>
      </c>
      <c r="AB136" s="20">
        <v>18673</v>
      </c>
      <c r="AC136" s="20">
        <v>18673</v>
      </c>
      <c r="AD136" s="20">
        <f t="shared" si="93"/>
        <v>100</v>
      </c>
      <c r="AE136" s="20">
        <f t="shared" si="94"/>
        <v>52009</v>
      </c>
      <c r="AF136" s="20">
        <f t="shared" si="95"/>
        <v>52009</v>
      </c>
      <c r="AG136" s="187">
        <f t="shared" si="96"/>
        <v>100</v>
      </c>
      <c r="AH136" s="59" t="s">
        <v>396</v>
      </c>
      <c r="AI136" s="19" t="s">
        <v>461</v>
      </c>
      <c r="AJ136" s="1">
        <v>6</v>
      </c>
      <c r="AK136" s="1">
        <v>27</v>
      </c>
      <c r="AL136" s="1">
        <f t="shared" si="100"/>
        <v>162</v>
      </c>
      <c r="AM136" s="26">
        <f t="shared" si="97"/>
        <v>0</v>
      </c>
      <c r="AN136" s="26"/>
      <c r="AO136" s="26"/>
      <c r="AP136" s="181" t="s">
        <v>52</v>
      </c>
      <c r="AQ136" s="159">
        <v>28054</v>
      </c>
      <c r="AR136" s="159">
        <v>28054</v>
      </c>
      <c r="AS136" s="151">
        <f t="shared" si="98"/>
        <v>100</v>
      </c>
      <c r="AU136" s="26">
        <f t="shared" si="83"/>
        <v>14</v>
      </c>
      <c r="AV136" s="26">
        <f t="shared" si="84"/>
        <v>14</v>
      </c>
      <c r="AW136" s="26">
        <f t="shared" si="85"/>
        <v>0</v>
      </c>
      <c r="AX136" s="1">
        <v>1</v>
      </c>
    </row>
    <row r="137" spans="1:50" s="1" customFormat="1" x14ac:dyDescent="0.25">
      <c r="A137" s="173" t="s">
        <v>198</v>
      </c>
      <c r="B137" s="8">
        <v>8050724</v>
      </c>
      <c r="C137" s="8">
        <v>0</v>
      </c>
      <c r="D137" s="10">
        <v>1</v>
      </c>
      <c r="E137" s="10">
        <v>1</v>
      </c>
      <c r="F137" s="10"/>
      <c r="G137" s="10">
        <f t="shared" si="86"/>
        <v>85253</v>
      </c>
      <c r="H137" s="19">
        <f t="shared" si="87"/>
        <v>85253</v>
      </c>
      <c r="I137" s="19">
        <v>0</v>
      </c>
      <c r="J137" s="19">
        <v>84976</v>
      </c>
      <c r="K137" s="29">
        <f t="shared" si="88"/>
        <v>0.32491525224918771</v>
      </c>
      <c r="L137" s="19" t="s">
        <v>58</v>
      </c>
      <c r="M137" s="23">
        <v>42776.273958333331</v>
      </c>
      <c r="N137" s="23"/>
      <c r="O137" s="179">
        <f t="shared" si="89"/>
        <v>100</v>
      </c>
      <c r="P137" s="19">
        <v>100</v>
      </c>
      <c r="Q137" s="19">
        <f t="shared" si="99"/>
        <v>0</v>
      </c>
      <c r="R137" s="19"/>
      <c r="S137" s="19">
        <f t="shared" si="80"/>
        <v>51977</v>
      </c>
      <c r="T137" s="19">
        <f t="shared" si="81"/>
        <v>51977</v>
      </c>
      <c r="U137" s="20">
        <f t="shared" si="90"/>
        <v>100</v>
      </c>
      <c r="V137" s="19">
        <v>33276</v>
      </c>
      <c r="W137" s="19">
        <v>33276</v>
      </c>
      <c r="X137" s="187">
        <f t="shared" si="91"/>
        <v>100</v>
      </c>
      <c r="Y137" s="20">
        <v>26004</v>
      </c>
      <c r="Z137" s="20">
        <v>26004</v>
      </c>
      <c r="AA137" s="20">
        <f t="shared" si="92"/>
        <v>100</v>
      </c>
      <c r="AB137" s="20">
        <v>25973</v>
      </c>
      <c r="AC137" s="20">
        <v>25973</v>
      </c>
      <c r="AD137" s="20">
        <f t="shared" si="93"/>
        <v>100</v>
      </c>
      <c r="AE137" s="20">
        <f t="shared" si="94"/>
        <v>59249</v>
      </c>
      <c r="AF137" s="20">
        <f t="shared" si="95"/>
        <v>59249</v>
      </c>
      <c r="AG137" s="187">
        <f t="shared" si="96"/>
        <v>100</v>
      </c>
      <c r="AH137" s="59" t="s">
        <v>458</v>
      </c>
      <c r="AI137" s="19" t="s">
        <v>52</v>
      </c>
      <c r="AL137" s="1" t="str">
        <f t="shared" si="100"/>
        <v/>
      </c>
      <c r="AM137" s="26">
        <f t="shared" si="97"/>
        <v>0</v>
      </c>
      <c r="AN137" s="26"/>
      <c r="AO137" s="26">
        <v>-16.867363970179149</v>
      </c>
      <c r="AP137" s="181" t="s">
        <v>52</v>
      </c>
      <c r="AQ137" s="159">
        <v>134382</v>
      </c>
      <c r="AR137" s="159">
        <v>53127</v>
      </c>
      <c r="AS137" s="151">
        <f t="shared" si="98"/>
        <v>39.534312631155963</v>
      </c>
      <c r="AU137" s="26">
        <f t="shared" si="83"/>
        <v>-82405</v>
      </c>
      <c r="AV137" s="26">
        <f t="shared" si="84"/>
        <v>-1150</v>
      </c>
      <c r="AW137" s="26">
        <f t="shared" si="85"/>
        <v>60.465687368844037</v>
      </c>
      <c r="AX137" s="1">
        <v>4</v>
      </c>
    </row>
    <row r="138" spans="1:50" s="1" customFormat="1" x14ac:dyDescent="0.25">
      <c r="A138" s="141" t="s">
        <v>167</v>
      </c>
      <c r="B138" s="8">
        <v>8013705</v>
      </c>
      <c r="C138" s="8">
        <v>0</v>
      </c>
      <c r="D138" s="10">
        <v>1</v>
      </c>
      <c r="E138" s="10">
        <v>1</v>
      </c>
      <c r="F138" s="10"/>
      <c r="G138" s="10">
        <f t="shared" si="86"/>
        <v>64730</v>
      </c>
      <c r="H138" s="19">
        <f t="shared" si="87"/>
        <v>64730</v>
      </c>
      <c r="I138" s="19">
        <v>394</v>
      </c>
      <c r="J138" s="19">
        <v>66650</v>
      </c>
      <c r="K138" s="29">
        <f t="shared" si="88"/>
        <v>-2.9661671558782636</v>
      </c>
      <c r="L138" s="19" t="s">
        <v>58</v>
      </c>
      <c r="M138" s="23">
        <v>41947.566053240742</v>
      </c>
      <c r="N138" s="23">
        <v>41642</v>
      </c>
      <c r="O138" s="179">
        <f t="shared" si="89"/>
        <v>100</v>
      </c>
      <c r="P138" s="19">
        <v>94</v>
      </c>
      <c r="Q138" s="19">
        <f t="shared" si="99"/>
        <v>6</v>
      </c>
      <c r="R138" s="19"/>
      <c r="S138" s="19">
        <f t="shared" si="80"/>
        <v>31483</v>
      </c>
      <c r="T138" s="19">
        <f t="shared" si="81"/>
        <v>31483</v>
      </c>
      <c r="U138" s="20">
        <f t="shared" si="90"/>
        <v>100</v>
      </c>
      <c r="V138" s="19">
        <v>33247</v>
      </c>
      <c r="W138" s="19">
        <v>33247</v>
      </c>
      <c r="X138" s="187">
        <f t="shared" si="91"/>
        <v>100</v>
      </c>
      <c r="Y138" s="19">
        <v>446</v>
      </c>
      <c r="Z138" s="20">
        <v>446</v>
      </c>
      <c r="AA138" s="20">
        <f t="shared" si="92"/>
        <v>100</v>
      </c>
      <c r="AB138" s="20">
        <v>31037</v>
      </c>
      <c r="AC138" s="20">
        <v>31037</v>
      </c>
      <c r="AD138" s="20">
        <f t="shared" si="93"/>
        <v>100</v>
      </c>
      <c r="AE138" s="20">
        <f t="shared" si="94"/>
        <v>64284</v>
      </c>
      <c r="AF138" s="20">
        <f t="shared" si="95"/>
        <v>64284</v>
      </c>
      <c r="AG138" s="187">
        <f t="shared" si="96"/>
        <v>100</v>
      </c>
      <c r="AH138" s="59" t="s">
        <v>394</v>
      </c>
      <c r="AI138" s="19" t="s">
        <v>52</v>
      </c>
      <c r="AJ138" s="1">
        <v>5</v>
      </c>
      <c r="AK138" s="1">
        <v>45</v>
      </c>
      <c r="AL138" s="1">
        <f t="shared" si="100"/>
        <v>225</v>
      </c>
      <c r="AM138" s="26">
        <f t="shared" si="97"/>
        <v>0</v>
      </c>
      <c r="AN138" s="26"/>
      <c r="AO138" s="26"/>
      <c r="AP138" s="181" t="s">
        <v>52</v>
      </c>
      <c r="AQ138" s="159">
        <v>31037</v>
      </c>
      <c r="AR138" s="159">
        <v>31037</v>
      </c>
      <c r="AS138" s="151">
        <f t="shared" si="98"/>
        <v>100</v>
      </c>
      <c r="AU138" s="26">
        <f t="shared" si="83"/>
        <v>446</v>
      </c>
      <c r="AV138" s="26">
        <f t="shared" si="84"/>
        <v>446</v>
      </c>
      <c r="AW138" s="26">
        <f t="shared" si="85"/>
        <v>0</v>
      </c>
      <c r="AX138" s="1">
        <v>2</v>
      </c>
    </row>
    <row r="139" spans="1:50" s="1" customFormat="1" ht="15.75" customHeight="1" x14ac:dyDescent="0.25">
      <c r="A139" s="141" t="s">
        <v>161</v>
      </c>
      <c r="B139" s="8">
        <v>7099665</v>
      </c>
      <c r="C139" s="8">
        <v>0</v>
      </c>
      <c r="D139" s="10">
        <v>1</v>
      </c>
      <c r="E139" s="10">
        <v>1</v>
      </c>
      <c r="F139" s="10"/>
      <c r="G139" s="10">
        <f t="shared" si="86"/>
        <v>65937</v>
      </c>
      <c r="H139" s="19">
        <f t="shared" si="87"/>
        <v>65937</v>
      </c>
      <c r="I139" s="19">
        <v>859</v>
      </c>
      <c r="J139" s="19">
        <v>64532</v>
      </c>
      <c r="K139" s="29">
        <f t="shared" si="88"/>
        <v>2.1308218450945602</v>
      </c>
      <c r="L139" s="19" t="s">
        <v>58</v>
      </c>
      <c r="M139" s="23"/>
      <c r="N139" s="23"/>
      <c r="O139" s="179">
        <f t="shared" si="89"/>
        <v>100</v>
      </c>
      <c r="P139" s="19">
        <v>61</v>
      </c>
      <c r="Q139" s="19">
        <f t="shared" si="99"/>
        <v>39</v>
      </c>
      <c r="R139" s="19"/>
      <c r="S139" s="19">
        <f t="shared" si="80"/>
        <v>32968</v>
      </c>
      <c r="T139" s="19">
        <f t="shared" si="81"/>
        <v>32968</v>
      </c>
      <c r="U139" s="20">
        <f t="shared" si="90"/>
        <v>100</v>
      </c>
      <c r="V139" s="19">
        <v>32969</v>
      </c>
      <c r="W139" s="19">
        <v>32969</v>
      </c>
      <c r="X139" s="187">
        <f t="shared" si="91"/>
        <v>100</v>
      </c>
      <c r="Y139" s="19">
        <v>922</v>
      </c>
      <c r="Z139" s="20">
        <v>922</v>
      </c>
      <c r="AA139" s="20">
        <f t="shared" si="92"/>
        <v>100</v>
      </c>
      <c r="AB139" s="20">
        <v>32046</v>
      </c>
      <c r="AC139" s="20">
        <v>32046</v>
      </c>
      <c r="AD139" s="20">
        <f t="shared" si="93"/>
        <v>100</v>
      </c>
      <c r="AE139" s="20">
        <f t="shared" si="94"/>
        <v>65015</v>
      </c>
      <c r="AF139" s="20">
        <f t="shared" si="95"/>
        <v>65015</v>
      </c>
      <c r="AG139" s="187">
        <f t="shared" si="96"/>
        <v>100</v>
      </c>
      <c r="AH139" s="59" t="s">
        <v>432</v>
      </c>
      <c r="AI139" s="19" t="s">
        <v>457</v>
      </c>
      <c r="AJ139" s="1">
        <v>2</v>
      </c>
      <c r="AK139" s="1">
        <v>105</v>
      </c>
      <c r="AL139" s="1">
        <f t="shared" si="100"/>
        <v>210</v>
      </c>
      <c r="AM139" s="26">
        <f t="shared" si="97"/>
        <v>0</v>
      </c>
      <c r="AN139" s="26">
        <f>IF(AL139&gt;0,AM139/AL139,"")</f>
        <v>0</v>
      </c>
      <c r="AO139" s="26">
        <v>41.839305504248244</v>
      </c>
      <c r="AP139" s="181" t="s">
        <v>52</v>
      </c>
      <c r="AQ139" s="159">
        <v>22338</v>
      </c>
      <c r="AR139" s="159">
        <v>22338</v>
      </c>
      <c r="AS139" s="151">
        <f t="shared" si="98"/>
        <v>100</v>
      </c>
      <c r="AU139" s="26">
        <f t="shared" si="83"/>
        <v>10630</v>
      </c>
      <c r="AV139" s="26">
        <f t="shared" si="84"/>
        <v>10630</v>
      </c>
      <c r="AW139" s="26">
        <f t="shared" si="85"/>
        <v>0</v>
      </c>
      <c r="AX139" s="1">
        <v>1</v>
      </c>
    </row>
    <row r="140" spans="1:50" s="1" customFormat="1" x14ac:dyDescent="0.25">
      <c r="A140" s="141" t="s">
        <v>309</v>
      </c>
      <c r="B140" s="8">
        <v>7353154</v>
      </c>
      <c r="C140" s="8">
        <v>0</v>
      </c>
      <c r="D140" s="10">
        <v>1</v>
      </c>
      <c r="E140" s="10">
        <v>1</v>
      </c>
      <c r="F140" s="10"/>
      <c r="G140" s="10">
        <f t="shared" si="86"/>
        <v>65502</v>
      </c>
      <c r="H140" s="19">
        <f t="shared" si="87"/>
        <v>65502</v>
      </c>
      <c r="I140" s="19">
        <v>0</v>
      </c>
      <c r="J140" s="19">
        <v>69242</v>
      </c>
      <c r="K140" s="29">
        <f t="shared" si="88"/>
        <v>-5.7097493206314311</v>
      </c>
      <c r="L140" s="19" t="s">
        <v>58</v>
      </c>
      <c r="M140" s="23">
        <v>42776.36886574074</v>
      </c>
      <c r="N140" s="23"/>
      <c r="O140" s="179">
        <f t="shared" si="89"/>
        <v>100</v>
      </c>
      <c r="P140" s="19">
        <v>100</v>
      </c>
      <c r="Q140" s="19">
        <f t="shared" si="99"/>
        <v>0</v>
      </c>
      <c r="R140" s="19"/>
      <c r="S140" s="19">
        <f t="shared" si="80"/>
        <v>32631</v>
      </c>
      <c r="T140" s="19">
        <f t="shared" si="81"/>
        <v>32631</v>
      </c>
      <c r="U140" s="20">
        <f t="shared" si="90"/>
        <v>100</v>
      </c>
      <c r="V140" s="19">
        <v>32871</v>
      </c>
      <c r="W140" s="19">
        <v>32871</v>
      </c>
      <c r="X140" s="187">
        <f t="shared" si="91"/>
        <v>100</v>
      </c>
      <c r="Y140" s="19">
        <v>5907</v>
      </c>
      <c r="Z140" s="20">
        <v>5907</v>
      </c>
      <c r="AA140" s="20">
        <f t="shared" si="92"/>
        <v>100</v>
      </c>
      <c r="AB140" s="20">
        <v>26724</v>
      </c>
      <c r="AC140" s="20">
        <v>26724</v>
      </c>
      <c r="AD140" s="20">
        <f t="shared" si="93"/>
        <v>100</v>
      </c>
      <c r="AE140" s="20">
        <f t="shared" si="94"/>
        <v>59595</v>
      </c>
      <c r="AF140" s="20">
        <f t="shared" si="95"/>
        <v>59595</v>
      </c>
      <c r="AG140" s="187">
        <f t="shared" si="96"/>
        <v>100</v>
      </c>
      <c r="AH140" s="59" t="s">
        <v>400</v>
      </c>
      <c r="AI140" s="19" t="s">
        <v>52</v>
      </c>
      <c r="AL140" s="1" t="str">
        <f t="shared" si="100"/>
        <v/>
      </c>
      <c r="AM140" s="26">
        <f t="shared" si="97"/>
        <v>0</v>
      </c>
      <c r="AN140" s="26"/>
      <c r="AO140" s="26"/>
      <c r="AP140" s="181" t="s">
        <v>52</v>
      </c>
      <c r="AQ140" s="159">
        <v>26636</v>
      </c>
      <c r="AR140" s="159">
        <v>26636</v>
      </c>
      <c r="AS140" s="151">
        <f t="shared" si="98"/>
        <v>100</v>
      </c>
      <c r="AU140" s="26">
        <f t="shared" si="83"/>
        <v>5995</v>
      </c>
      <c r="AV140" s="26">
        <f t="shared" si="84"/>
        <v>5995</v>
      </c>
      <c r="AW140" s="26">
        <f t="shared" si="85"/>
        <v>0</v>
      </c>
      <c r="AX140" s="1">
        <v>2</v>
      </c>
    </row>
    <row r="141" spans="1:50" s="1" customFormat="1" x14ac:dyDescent="0.25">
      <c r="A141" s="141" t="s">
        <v>235</v>
      </c>
      <c r="B141" s="8" t="s">
        <v>52</v>
      </c>
      <c r="C141" s="8">
        <v>0</v>
      </c>
      <c r="D141" s="10">
        <v>1</v>
      </c>
      <c r="E141" s="10">
        <v>1</v>
      </c>
      <c r="F141" s="10"/>
      <c r="G141" s="10">
        <f t="shared" si="86"/>
        <v>77984</v>
      </c>
      <c r="H141" s="19">
        <f t="shared" si="87"/>
        <v>77984</v>
      </c>
      <c r="I141" s="19">
        <v>0</v>
      </c>
      <c r="J141" s="19">
        <v>68037</v>
      </c>
      <c r="K141" s="29">
        <f t="shared" si="88"/>
        <v>12.755180549856382</v>
      </c>
      <c r="L141" s="19" t="s">
        <v>58</v>
      </c>
      <c r="M141" s="23"/>
      <c r="N141" s="23">
        <v>42100</v>
      </c>
      <c r="O141" s="180">
        <f t="shared" si="89"/>
        <v>100</v>
      </c>
      <c r="P141" s="19">
        <v>100</v>
      </c>
      <c r="Q141" s="19">
        <f t="shared" si="99"/>
        <v>0</v>
      </c>
      <c r="R141" s="19"/>
      <c r="S141" s="19">
        <f t="shared" si="80"/>
        <v>45281</v>
      </c>
      <c r="T141" s="19">
        <f t="shared" si="81"/>
        <v>45281</v>
      </c>
      <c r="U141" s="20">
        <f t="shared" si="90"/>
        <v>100</v>
      </c>
      <c r="V141" s="19">
        <v>32703</v>
      </c>
      <c r="W141" s="19">
        <v>32703</v>
      </c>
      <c r="X141" s="188">
        <f t="shared" si="91"/>
        <v>100</v>
      </c>
      <c r="Y141" s="19">
        <v>21928</v>
      </c>
      <c r="Z141" s="59">
        <v>21928</v>
      </c>
      <c r="AA141" s="20">
        <f t="shared" si="92"/>
        <v>100</v>
      </c>
      <c r="AB141" s="59">
        <v>23353</v>
      </c>
      <c r="AC141" s="59">
        <v>23353</v>
      </c>
      <c r="AD141" s="20">
        <f t="shared" si="93"/>
        <v>100</v>
      </c>
      <c r="AE141" s="20">
        <f t="shared" si="94"/>
        <v>56056</v>
      </c>
      <c r="AF141" s="20">
        <f t="shared" si="95"/>
        <v>56056</v>
      </c>
      <c r="AG141" s="187">
        <f t="shared" si="96"/>
        <v>100</v>
      </c>
      <c r="AH141" s="59" t="s">
        <v>51</v>
      </c>
      <c r="AI141" s="19" t="s">
        <v>123</v>
      </c>
      <c r="AL141" s="1" t="str">
        <f t="shared" si="100"/>
        <v/>
      </c>
      <c r="AM141" s="26">
        <f t="shared" si="97"/>
        <v>0</v>
      </c>
      <c r="AN141" s="26"/>
      <c r="AO141" s="26"/>
      <c r="AP141" s="181" t="s">
        <v>52</v>
      </c>
      <c r="AQ141" s="159">
        <v>48231</v>
      </c>
      <c r="AR141" s="159">
        <v>48231</v>
      </c>
      <c r="AS141" s="151">
        <f t="shared" si="98"/>
        <v>100</v>
      </c>
      <c r="AU141" s="26">
        <f t="shared" si="83"/>
        <v>-2950</v>
      </c>
      <c r="AV141" s="26">
        <f t="shared" si="84"/>
        <v>-2950</v>
      </c>
      <c r="AW141" s="26">
        <f t="shared" si="85"/>
        <v>0</v>
      </c>
      <c r="AX141" s="1">
        <v>2</v>
      </c>
    </row>
    <row r="142" spans="1:50" s="1" customFormat="1" x14ac:dyDescent="0.25">
      <c r="A142" s="141" t="s">
        <v>126</v>
      </c>
      <c r="B142" s="8">
        <v>7197144</v>
      </c>
      <c r="C142" s="8">
        <v>0</v>
      </c>
      <c r="D142" s="10">
        <v>1</v>
      </c>
      <c r="E142" s="10">
        <v>1</v>
      </c>
      <c r="F142" s="10"/>
      <c r="G142" s="10">
        <f t="shared" si="86"/>
        <v>58865</v>
      </c>
      <c r="H142" s="19">
        <f t="shared" si="87"/>
        <v>58865</v>
      </c>
      <c r="I142" s="19">
        <v>2385</v>
      </c>
      <c r="J142" s="19">
        <v>59618</v>
      </c>
      <c r="K142" s="29">
        <f t="shared" si="88"/>
        <v>-1.2791981652934681</v>
      </c>
      <c r="L142" s="19" t="s">
        <v>58</v>
      </c>
      <c r="M142" s="23"/>
      <c r="N142" s="23" t="s">
        <v>66</v>
      </c>
      <c r="O142" s="179">
        <f t="shared" si="89"/>
        <v>100</v>
      </c>
      <c r="P142" s="19">
        <v>46</v>
      </c>
      <c r="Q142" s="19">
        <f t="shared" si="99"/>
        <v>54</v>
      </c>
      <c r="R142" s="19"/>
      <c r="S142" s="19">
        <f t="shared" ref="S142:S177" si="101">Y142+AB142</f>
        <v>26370</v>
      </c>
      <c r="T142" s="19">
        <f t="shared" ref="T142:T177" si="102">Z142+AC142</f>
        <v>26370</v>
      </c>
      <c r="U142" s="20">
        <f t="shared" si="90"/>
        <v>100</v>
      </c>
      <c r="V142" s="19">
        <v>32495</v>
      </c>
      <c r="W142" s="22">
        <v>32495</v>
      </c>
      <c r="X142" s="187">
        <f t="shared" si="91"/>
        <v>100</v>
      </c>
      <c r="Y142" s="20">
        <v>11170</v>
      </c>
      <c r="Z142" s="20">
        <v>11170</v>
      </c>
      <c r="AA142" s="20">
        <f t="shared" si="92"/>
        <v>100</v>
      </c>
      <c r="AB142" s="20">
        <v>15200</v>
      </c>
      <c r="AC142" s="20">
        <v>15200</v>
      </c>
      <c r="AD142" s="20">
        <f t="shared" si="93"/>
        <v>100</v>
      </c>
      <c r="AE142" s="20">
        <f t="shared" si="94"/>
        <v>47695</v>
      </c>
      <c r="AF142" s="20">
        <f t="shared" si="95"/>
        <v>47695</v>
      </c>
      <c r="AG142" s="187">
        <f t="shared" si="96"/>
        <v>100</v>
      </c>
      <c r="AH142" s="59" t="s">
        <v>407</v>
      </c>
      <c r="AI142" s="19" t="s">
        <v>52</v>
      </c>
      <c r="AJ142" s="1">
        <v>30</v>
      </c>
      <c r="AK142" s="1">
        <v>13</v>
      </c>
      <c r="AL142" s="1">
        <f t="shared" si="100"/>
        <v>390</v>
      </c>
      <c r="AM142" s="26">
        <f t="shared" si="97"/>
        <v>0</v>
      </c>
      <c r="AN142" s="26">
        <f>IF(AL142&gt;0,AM142/AL142,"")</f>
        <v>0</v>
      </c>
      <c r="AO142" s="26">
        <v>83.003843197540348</v>
      </c>
      <c r="AP142" s="181" t="s">
        <v>52</v>
      </c>
      <c r="AQ142" s="159">
        <v>27118</v>
      </c>
      <c r="AR142" s="159">
        <v>27118</v>
      </c>
      <c r="AS142" s="151">
        <f t="shared" si="98"/>
        <v>100</v>
      </c>
      <c r="AU142" s="26">
        <f t="shared" si="83"/>
        <v>-748</v>
      </c>
      <c r="AV142" s="26">
        <f t="shared" si="84"/>
        <v>-748</v>
      </c>
      <c r="AW142" s="26">
        <f t="shared" si="85"/>
        <v>0</v>
      </c>
      <c r="AX142" s="1">
        <v>1</v>
      </c>
    </row>
    <row r="143" spans="1:50" s="1" customFormat="1" x14ac:dyDescent="0.25">
      <c r="A143" s="141" t="s">
        <v>200</v>
      </c>
      <c r="B143" s="8">
        <v>7214324</v>
      </c>
      <c r="C143" s="8">
        <v>0</v>
      </c>
      <c r="D143" s="10">
        <v>1</v>
      </c>
      <c r="E143" s="10">
        <v>1</v>
      </c>
      <c r="F143" s="10"/>
      <c r="G143" s="10">
        <f t="shared" si="86"/>
        <v>57714</v>
      </c>
      <c r="H143" s="19">
        <f t="shared" si="87"/>
        <v>57714</v>
      </c>
      <c r="I143" s="19">
        <v>3129</v>
      </c>
      <c r="J143" s="19">
        <v>57758</v>
      </c>
      <c r="K143" s="29">
        <f t="shared" si="88"/>
        <v>-7.6238001178223658E-2</v>
      </c>
      <c r="L143" s="19" t="s">
        <v>58</v>
      </c>
      <c r="M143" s="23"/>
      <c r="N143" s="23"/>
      <c r="O143" s="179">
        <f t="shared" si="89"/>
        <v>100</v>
      </c>
      <c r="P143" s="19">
        <v>81.87</v>
      </c>
      <c r="Q143" s="19">
        <f t="shared" si="99"/>
        <v>18</v>
      </c>
      <c r="R143" s="19"/>
      <c r="S143" s="19">
        <f t="shared" si="101"/>
        <v>25326</v>
      </c>
      <c r="T143" s="19">
        <f t="shared" si="102"/>
        <v>25326</v>
      </c>
      <c r="U143" s="20">
        <f t="shared" si="90"/>
        <v>100</v>
      </c>
      <c r="V143" s="19">
        <v>32388</v>
      </c>
      <c r="W143" s="19">
        <v>32388</v>
      </c>
      <c r="X143" s="187">
        <f t="shared" si="91"/>
        <v>100</v>
      </c>
      <c r="Y143" s="19">
        <v>3152</v>
      </c>
      <c r="Z143" s="20">
        <v>3152</v>
      </c>
      <c r="AA143" s="20">
        <f t="shared" si="92"/>
        <v>100</v>
      </c>
      <c r="AB143" s="20">
        <v>22174</v>
      </c>
      <c r="AC143" s="20">
        <v>22174</v>
      </c>
      <c r="AD143" s="20">
        <f t="shared" si="93"/>
        <v>100</v>
      </c>
      <c r="AE143" s="20">
        <f t="shared" si="94"/>
        <v>54562</v>
      </c>
      <c r="AF143" s="20">
        <f t="shared" si="95"/>
        <v>54562</v>
      </c>
      <c r="AG143" s="187">
        <f t="shared" si="96"/>
        <v>100</v>
      </c>
      <c r="AH143" s="59" t="s">
        <v>399</v>
      </c>
      <c r="AI143" s="19" t="s">
        <v>52</v>
      </c>
      <c r="AJ143" s="1">
        <v>14</v>
      </c>
      <c r="AK143" s="1">
        <v>40</v>
      </c>
      <c r="AL143" s="1">
        <f t="shared" si="100"/>
        <v>560</v>
      </c>
      <c r="AM143" s="26">
        <f t="shared" si="97"/>
        <v>0</v>
      </c>
      <c r="AN143" s="26">
        <f>IF(AL143&gt;0,AM143/AL143,"")</f>
        <v>0</v>
      </c>
      <c r="AO143" s="26">
        <v>1.7222222222222223</v>
      </c>
      <c r="AP143" s="181" t="s">
        <v>52</v>
      </c>
      <c r="AQ143" s="159">
        <v>29347</v>
      </c>
      <c r="AR143" s="159">
        <v>29347</v>
      </c>
      <c r="AS143" s="151">
        <f t="shared" si="98"/>
        <v>100</v>
      </c>
      <c r="AU143" s="26">
        <f t="shared" si="83"/>
        <v>-4021</v>
      </c>
      <c r="AV143" s="26">
        <f t="shared" si="84"/>
        <v>-4021</v>
      </c>
      <c r="AW143" s="26">
        <f t="shared" si="85"/>
        <v>0</v>
      </c>
      <c r="AX143" s="1">
        <v>1</v>
      </c>
    </row>
    <row r="144" spans="1:50" s="1" customFormat="1" x14ac:dyDescent="0.25">
      <c r="A144" s="141" t="s">
        <v>182</v>
      </c>
      <c r="B144" s="8">
        <v>7214740</v>
      </c>
      <c r="C144" s="8">
        <v>0</v>
      </c>
      <c r="D144" s="10">
        <v>1</v>
      </c>
      <c r="E144" s="10">
        <v>1</v>
      </c>
      <c r="F144" s="10"/>
      <c r="G144" s="10">
        <f t="shared" si="86"/>
        <v>58483</v>
      </c>
      <c r="H144" s="19">
        <f t="shared" si="87"/>
        <v>58483</v>
      </c>
      <c r="I144" s="19">
        <v>218</v>
      </c>
      <c r="J144" s="19">
        <v>40162</v>
      </c>
      <c r="K144" s="29">
        <f t="shared" si="88"/>
        <v>31.327052305798265</v>
      </c>
      <c r="L144" s="19" t="s">
        <v>58</v>
      </c>
      <c r="M144" s="23"/>
      <c r="N144" s="23"/>
      <c r="O144" s="179">
        <f t="shared" si="89"/>
        <v>100</v>
      </c>
      <c r="P144" s="19">
        <v>67.599999999999994</v>
      </c>
      <c r="Q144" s="19">
        <f t="shared" si="99"/>
        <v>32</v>
      </c>
      <c r="R144" s="19"/>
      <c r="S144" s="19">
        <f t="shared" si="101"/>
        <v>26685</v>
      </c>
      <c r="T144" s="19">
        <f t="shared" si="102"/>
        <v>26685</v>
      </c>
      <c r="U144" s="20">
        <f t="shared" si="90"/>
        <v>100</v>
      </c>
      <c r="V144" s="19">
        <v>31798</v>
      </c>
      <c r="W144" s="19">
        <v>31798</v>
      </c>
      <c r="X144" s="187">
        <f t="shared" si="91"/>
        <v>100</v>
      </c>
      <c r="Y144" s="20">
        <v>0</v>
      </c>
      <c r="Z144" s="20">
        <v>0</v>
      </c>
      <c r="AA144" s="20" t="str">
        <f t="shared" si="92"/>
        <v/>
      </c>
      <c r="AB144" s="20">
        <v>26685</v>
      </c>
      <c r="AC144" s="20">
        <v>26685</v>
      </c>
      <c r="AD144" s="20">
        <f t="shared" si="93"/>
        <v>100</v>
      </c>
      <c r="AE144" s="20">
        <f t="shared" si="94"/>
        <v>58483</v>
      </c>
      <c r="AF144" s="20">
        <f t="shared" si="95"/>
        <v>58483</v>
      </c>
      <c r="AG144" s="187">
        <f t="shared" si="96"/>
        <v>100</v>
      </c>
      <c r="AH144" s="59">
        <v>0</v>
      </c>
      <c r="AI144" s="19" t="s">
        <v>52</v>
      </c>
      <c r="AJ144" s="1">
        <v>1</v>
      </c>
      <c r="AK144" s="1">
        <v>50</v>
      </c>
      <c r="AL144" s="1">
        <f t="shared" si="100"/>
        <v>50</v>
      </c>
      <c r="AM144" s="26">
        <f t="shared" si="97"/>
        <v>0</v>
      </c>
      <c r="AN144" s="26"/>
      <c r="AO144" s="26">
        <v>809.44488188976368</v>
      </c>
      <c r="AP144" s="181">
        <v>43159</v>
      </c>
      <c r="AQ144" s="159">
        <v>26685</v>
      </c>
      <c r="AR144" s="159">
        <v>12821</v>
      </c>
      <c r="AS144" s="151">
        <f t="shared" si="98"/>
        <v>48.045718568484169</v>
      </c>
      <c r="AU144" s="26">
        <f t="shared" si="83"/>
        <v>0</v>
      </c>
      <c r="AV144" s="26">
        <f t="shared" si="84"/>
        <v>13864</v>
      </c>
      <c r="AW144" s="26">
        <f t="shared" si="85"/>
        <v>51.954281431515831</v>
      </c>
      <c r="AX144" s="1">
        <v>1</v>
      </c>
    </row>
    <row r="145" spans="1:50" s="1" customFormat="1" x14ac:dyDescent="0.25">
      <c r="A145" s="173" t="s">
        <v>183</v>
      </c>
      <c r="B145" s="8">
        <v>7113838</v>
      </c>
      <c r="C145" s="8">
        <v>0</v>
      </c>
      <c r="D145" s="10">
        <v>1</v>
      </c>
      <c r="E145" s="10">
        <v>1</v>
      </c>
      <c r="F145" s="10"/>
      <c r="G145" s="10">
        <f t="shared" si="86"/>
        <v>51937</v>
      </c>
      <c r="H145" s="19">
        <f t="shared" si="87"/>
        <v>51937</v>
      </c>
      <c r="I145" s="19">
        <v>324</v>
      </c>
      <c r="J145" s="19">
        <v>49270</v>
      </c>
      <c r="K145" s="29">
        <f t="shared" si="88"/>
        <v>5.1350674856075633</v>
      </c>
      <c r="L145" s="19" t="s">
        <v>58</v>
      </c>
      <c r="M145" s="23">
        <v>42759.471620370372</v>
      </c>
      <c r="N145" s="23"/>
      <c r="O145" s="179">
        <f t="shared" si="89"/>
        <v>100</v>
      </c>
      <c r="P145" s="19">
        <v>99.9</v>
      </c>
      <c r="Q145" s="19">
        <f t="shared" si="99"/>
        <v>0</v>
      </c>
      <c r="R145" s="19"/>
      <c r="S145" s="19">
        <f t="shared" si="101"/>
        <v>20764</v>
      </c>
      <c r="T145" s="19">
        <f t="shared" si="102"/>
        <v>20764</v>
      </c>
      <c r="U145" s="20">
        <f t="shared" si="90"/>
        <v>100</v>
      </c>
      <c r="V145" s="19">
        <v>31173</v>
      </c>
      <c r="W145" s="19">
        <v>31173</v>
      </c>
      <c r="X145" s="187">
        <f t="shared" si="91"/>
        <v>100</v>
      </c>
      <c r="Y145" s="19">
        <v>557</v>
      </c>
      <c r="Z145" s="20">
        <v>557</v>
      </c>
      <c r="AA145" s="20">
        <f t="shared" si="92"/>
        <v>100</v>
      </c>
      <c r="AB145" s="20">
        <v>20207</v>
      </c>
      <c r="AC145" s="151">
        <v>20207</v>
      </c>
      <c r="AD145" s="20">
        <f t="shared" si="93"/>
        <v>100</v>
      </c>
      <c r="AE145" s="20">
        <f t="shared" si="94"/>
        <v>51380</v>
      </c>
      <c r="AF145" s="20">
        <f t="shared" si="95"/>
        <v>51380</v>
      </c>
      <c r="AG145" s="187">
        <f t="shared" si="96"/>
        <v>100</v>
      </c>
      <c r="AH145" s="59" t="s">
        <v>493</v>
      </c>
      <c r="AI145" s="19" t="s">
        <v>52</v>
      </c>
      <c r="AJ145" s="1">
        <v>3</v>
      </c>
      <c r="AK145" s="1">
        <v>30</v>
      </c>
      <c r="AL145" s="1">
        <f t="shared" si="100"/>
        <v>90</v>
      </c>
      <c r="AM145" s="26">
        <f t="shared" si="97"/>
        <v>0</v>
      </c>
      <c r="AN145" s="26"/>
      <c r="AO145" s="26"/>
      <c r="AP145" s="181" t="s">
        <v>486</v>
      </c>
      <c r="AQ145" s="159">
        <v>17815</v>
      </c>
      <c r="AR145" s="159">
        <v>17815</v>
      </c>
      <c r="AS145" s="151">
        <f t="shared" si="98"/>
        <v>100</v>
      </c>
      <c r="AU145" s="26">
        <f t="shared" si="83"/>
        <v>2949</v>
      </c>
      <c r="AV145" s="26">
        <f t="shared" si="84"/>
        <v>2949</v>
      </c>
      <c r="AW145" s="26">
        <f t="shared" si="85"/>
        <v>0</v>
      </c>
      <c r="AX145" s="1">
        <v>4</v>
      </c>
    </row>
    <row r="146" spans="1:50" s="1" customFormat="1" x14ac:dyDescent="0.25">
      <c r="A146" s="142" t="s">
        <v>92</v>
      </c>
      <c r="B146" t="s">
        <v>241</v>
      </c>
      <c r="C146" s="8">
        <v>1</v>
      </c>
      <c r="D146" s="10">
        <v>1</v>
      </c>
      <c r="E146" s="13">
        <v>1</v>
      </c>
      <c r="F146"/>
      <c r="G146" s="10">
        <f t="shared" si="86"/>
        <v>44697</v>
      </c>
      <c r="H146" s="19">
        <f t="shared" si="87"/>
        <v>44697</v>
      </c>
      <c r="I146" s="19">
        <v>-21</v>
      </c>
      <c r="J146" s="19">
        <v>1434</v>
      </c>
      <c r="K146" s="29">
        <f t="shared" si="88"/>
        <v>96.791730988656951</v>
      </c>
      <c r="L146" s="19" t="s">
        <v>58</v>
      </c>
      <c r="M146" s="13"/>
      <c r="N146" s="13"/>
      <c r="O146" s="179">
        <f t="shared" si="89"/>
        <v>100</v>
      </c>
      <c r="P146"/>
      <c r="Q146"/>
      <c r="R146" s="19"/>
      <c r="S146" s="19">
        <f t="shared" si="101"/>
        <v>14196</v>
      </c>
      <c r="T146" s="19">
        <f t="shared" si="102"/>
        <v>14196</v>
      </c>
      <c r="U146" s="20">
        <f t="shared" si="90"/>
        <v>100</v>
      </c>
      <c r="V146" s="19">
        <v>30501</v>
      </c>
      <c r="W146">
        <v>30501</v>
      </c>
      <c r="X146" s="20">
        <f t="shared" si="91"/>
        <v>100</v>
      </c>
      <c r="Y146" s="20">
        <v>0</v>
      </c>
      <c r="Z146" s="20">
        <v>0</v>
      </c>
      <c r="AA146" s="20" t="str">
        <f t="shared" si="92"/>
        <v/>
      </c>
      <c r="AB146" s="20">
        <v>14196</v>
      </c>
      <c r="AC146" s="20">
        <v>14196</v>
      </c>
      <c r="AD146" s="20">
        <f t="shared" si="93"/>
        <v>100</v>
      </c>
      <c r="AE146" s="20">
        <f t="shared" si="94"/>
        <v>44697</v>
      </c>
      <c r="AF146" s="20">
        <f t="shared" si="95"/>
        <v>44697</v>
      </c>
      <c r="AG146" s="20">
        <f t="shared" si="96"/>
        <v>100</v>
      </c>
      <c r="AH146" s="59" t="s">
        <v>545</v>
      </c>
      <c r="AI146" s="19" t="s">
        <v>561</v>
      </c>
      <c r="AJ146"/>
      <c r="AK146"/>
      <c r="AL146"/>
      <c r="AM146" s="26">
        <f t="shared" si="97"/>
        <v>0</v>
      </c>
      <c r="AN146" s="26" t="str">
        <f>IF(AL146&gt;0,AM146/AL146,"")</f>
        <v/>
      </c>
      <c r="AO146" s="26">
        <v>135.78260869565216</v>
      </c>
      <c r="AP146" s="181">
        <v>43830</v>
      </c>
      <c r="AQ146" s="159">
        <v>10394</v>
      </c>
      <c r="AR146">
        <v>278</v>
      </c>
      <c r="AS146" s="151">
        <f t="shared" si="98"/>
        <v>2.6746199730613816</v>
      </c>
      <c r="AT146"/>
      <c r="AU146" s="26">
        <f t="shared" si="83"/>
        <v>3802</v>
      </c>
      <c r="AV146" s="26">
        <f t="shared" si="84"/>
        <v>13918</v>
      </c>
      <c r="AW146" s="26">
        <f t="shared" si="85"/>
        <v>97.325380026938618</v>
      </c>
      <c r="AX146" s="1">
        <v>1</v>
      </c>
    </row>
    <row r="147" spans="1:50" s="1" customFormat="1" x14ac:dyDescent="0.25">
      <c r="A147" s="173" t="s">
        <v>118</v>
      </c>
      <c r="B147" s="8">
        <v>8127808</v>
      </c>
      <c r="C147" s="8">
        <v>0</v>
      </c>
      <c r="D147" s="10">
        <v>1</v>
      </c>
      <c r="E147" s="10">
        <v>1</v>
      </c>
      <c r="F147" s="10"/>
      <c r="G147" s="10">
        <f t="shared" si="86"/>
        <v>61919</v>
      </c>
      <c r="H147" s="19">
        <f t="shared" si="87"/>
        <v>61919</v>
      </c>
      <c r="I147" s="19">
        <v>1124</v>
      </c>
      <c r="J147" s="19">
        <v>54407</v>
      </c>
      <c r="K147" s="29">
        <f t="shared" si="88"/>
        <v>12.131978875627835</v>
      </c>
      <c r="L147" s="19" t="s">
        <v>58</v>
      </c>
      <c r="M147" s="23">
        <v>42767.561215277776</v>
      </c>
      <c r="N147" s="23"/>
      <c r="O147" s="179">
        <f t="shared" si="89"/>
        <v>100</v>
      </c>
      <c r="P147" s="19">
        <v>80.099999999999994</v>
      </c>
      <c r="Q147" s="19">
        <f t="shared" ref="Q147:Q177" si="103">ROUND(O147-P147,0)</f>
        <v>20</v>
      </c>
      <c r="R147" s="19"/>
      <c r="S147" s="19">
        <f t="shared" si="101"/>
        <v>32179</v>
      </c>
      <c r="T147" s="19">
        <f t="shared" si="102"/>
        <v>32179</v>
      </c>
      <c r="U147" s="20">
        <f t="shared" si="90"/>
        <v>100</v>
      </c>
      <c r="V147" s="19">
        <v>29740</v>
      </c>
      <c r="W147" s="19">
        <v>29740</v>
      </c>
      <c r="X147" s="187">
        <f t="shared" si="91"/>
        <v>100</v>
      </c>
      <c r="Y147" s="20">
        <v>9858</v>
      </c>
      <c r="Z147" s="20">
        <v>9858</v>
      </c>
      <c r="AA147" s="20">
        <f t="shared" si="92"/>
        <v>100</v>
      </c>
      <c r="AB147" s="20">
        <v>22321</v>
      </c>
      <c r="AC147" s="20">
        <v>22321</v>
      </c>
      <c r="AD147" s="20">
        <f t="shared" si="93"/>
        <v>100</v>
      </c>
      <c r="AE147" s="20">
        <f t="shared" si="94"/>
        <v>52061</v>
      </c>
      <c r="AF147" s="20">
        <f t="shared" si="95"/>
        <v>52061</v>
      </c>
      <c r="AG147" s="187">
        <f t="shared" si="96"/>
        <v>100</v>
      </c>
      <c r="AH147" s="59" t="s">
        <v>467</v>
      </c>
      <c r="AI147" s="19">
        <v>0</v>
      </c>
      <c r="AJ147" s="1">
        <v>7</v>
      </c>
      <c r="AK147" s="1">
        <v>150</v>
      </c>
      <c r="AL147" s="1">
        <f t="shared" ref="AL147:AL177" si="104">IF(AK147&gt;0,AK147*AJ147,"")</f>
        <v>1050</v>
      </c>
      <c r="AM147" s="26">
        <f t="shared" si="97"/>
        <v>0</v>
      </c>
      <c r="AN147" s="26">
        <f>IF(AL147&gt;0,AM147/AL147,"")</f>
        <v>0</v>
      </c>
      <c r="AO147" s="26">
        <v>79.878787878787875</v>
      </c>
      <c r="AP147" s="181" t="s">
        <v>52</v>
      </c>
      <c r="AQ147" s="159">
        <v>47583</v>
      </c>
      <c r="AR147" s="159">
        <v>25262</v>
      </c>
      <c r="AS147" s="151">
        <f t="shared" si="98"/>
        <v>53.090389424794573</v>
      </c>
      <c r="AU147" s="26">
        <f t="shared" si="83"/>
        <v>-15404</v>
      </c>
      <c r="AV147" s="26">
        <f t="shared" si="84"/>
        <v>6917</v>
      </c>
      <c r="AW147" s="26">
        <f t="shared" si="85"/>
        <v>46.909610575205427</v>
      </c>
      <c r="AX147" s="1">
        <v>4</v>
      </c>
    </row>
    <row r="148" spans="1:50" s="1" customFormat="1" x14ac:dyDescent="0.25">
      <c r="A148" s="141" t="s">
        <v>164</v>
      </c>
      <c r="B148" s="8">
        <v>8695059</v>
      </c>
      <c r="C148" s="8">
        <v>0</v>
      </c>
      <c r="D148" s="10">
        <v>1</v>
      </c>
      <c r="E148" s="10">
        <v>1</v>
      </c>
      <c r="F148" s="10"/>
      <c r="G148" s="10">
        <f t="shared" si="86"/>
        <v>63766</v>
      </c>
      <c r="H148" s="19">
        <f t="shared" si="87"/>
        <v>63766</v>
      </c>
      <c r="I148" s="19">
        <v>14</v>
      </c>
      <c r="J148" s="19">
        <v>64158</v>
      </c>
      <c r="K148" s="29">
        <f t="shared" si="88"/>
        <v>-0.61474767117272522</v>
      </c>
      <c r="L148" s="19" t="s">
        <v>58</v>
      </c>
      <c r="M148" s="23"/>
      <c r="N148" s="23">
        <v>42759</v>
      </c>
      <c r="O148" s="179">
        <f t="shared" si="89"/>
        <v>100</v>
      </c>
      <c r="P148" s="19">
        <v>100</v>
      </c>
      <c r="Q148" s="19">
        <f t="shared" si="103"/>
        <v>0</v>
      </c>
      <c r="R148" s="19"/>
      <c r="S148" s="19">
        <f t="shared" si="101"/>
        <v>34124</v>
      </c>
      <c r="T148" s="19">
        <f t="shared" si="102"/>
        <v>34124</v>
      </c>
      <c r="U148" s="20">
        <f t="shared" si="90"/>
        <v>100</v>
      </c>
      <c r="V148" s="19">
        <v>29642</v>
      </c>
      <c r="W148" s="19">
        <v>29642</v>
      </c>
      <c r="X148" s="187">
        <f t="shared" si="91"/>
        <v>100</v>
      </c>
      <c r="Y148" s="19">
        <v>8745</v>
      </c>
      <c r="Z148" s="20">
        <v>8745</v>
      </c>
      <c r="AA148" s="20">
        <f t="shared" si="92"/>
        <v>100</v>
      </c>
      <c r="AB148" s="20">
        <v>25379</v>
      </c>
      <c r="AC148" s="20">
        <v>25379</v>
      </c>
      <c r="AD148" s="20">
        <f t="shared" si="93"/>
        <v>100</v>
      </c>
      <c r="AE148" s="20">
        <f t="shared" si="94"/>
        <v>55021</v>
      </c>
      <c r="AF148" s="20">
        <f t="shared" si="95"/>
        <v>55021</v>
      </c>
      <c r="AG148" s="187">
        <f t="shared" si="96"/>
        <v>100</v>
      </c>
      <c r="AH148" s="59" t="s">
        <v>395</v>
      </c>
      <c r="AI148" s="19">
        <v>0</v>
      </c>
      <c r="AL148" s="1" t="str">
        <f t="shared" si="104"/>
        <v/>
      </c>
      <c r="AM148" s="26">
        <f t="shared" si="97"/>
        <v>0</v>
      </c>
      <c r="AN148" s="26"/>
      <c r="AO148" s="26"/>
      <c r="AP148" s="181" t="s">
        <v>52</v>
      </c>
      <c r="AQ148" s="159">
        <v>34124</v>
      </c>
      <c r="AR148" s="159">
        <v>34124</v>
      </c>
      <c r="AS148" s="151">
        <f t="shared" si="98"/>
        <v>100</v>
      </c>
      <c r="AU148" s="26">
        <f t="shared" si="83"/>
        <v>0</v>
      </c>
      <c r="AV148" s="26">
        <f t="shared" si="84"/>
        <v>0</v>
      </c>
      <c r="AW148" s="26">
        <f t="shared" si="85"/>
        <v>0</v>
      </c>
      <c r="AX148" s="1">
        <v>2</v>
      </c>
    </row>
    <row r="149" spans="1:50" s="1" customFormat="1" ht="18" customHeight="1" x14ac:dyDescent="0.25">
      <c r="A149" s="173" t="s">
        <v>116</v>
      </c>
      <c r="B149" s="8">
        <v>7202342</v>
      </c>
      <c r="C149" s="8">
        <v>0</v>
      </c>
      <c r="D149" s="10">
        <v>1</v>
      </c>
      <c r="E149" s="10">
        <v>1</v>
      </c>
      <c r="F149" s="10"/>
      <c r="G149" s="10">
        <f t="shared" si="86"/>
        <v>49551</v>
      </c>
      <c r="H149" s="19">
        <f t="shared" si="87"/>
        <v>49551</v>
      </c>
      <c r="I149" s="19">
        <v>701</v>
      </c>
      <c r="J149" s="19">
        <v>40028</v>
      </c>
      <c r="K149" s="29">
        <f t="shared" si="88"/>
        <v>19.218582874210412</v>
      </c>
      <c r="L149" s="19" t="s">
        <v>58</v>
      </c>
      <c r="M149" s="23">
        <v>42769.369062500002</v>
      </c>
      <c r="N149" s="23"/>
      <c r="O149" s="179">
        <f t="shared" si="89"/>
        <v>100</v>
      </c>
      <c r="P149" s="19">
        <v>96.5</v>
      </c>
      <c r="Q149" s="19">
        <f t="shared" si="103"/>
        <v>4</v>
      </c>
      <c r="R149" s="19"/>
      <c r="S149" s="19">
        <f t="shared" si="101"/>
        <v>20635</v>
      </c>
      <c r="T149" s="19">
        <f t="shared" si="102"/>
        <v>20635</v>
      </c>
      <c r="U149" s="20">
        <f t="shared" si="90"/>
        <v>100</v>
      </c>
      <c r="V149" s="19">
        <v>28916</v>
      </c>
      <c r="W149" s="19">
        <v>28916</v>
      </c>
      <c r="X149" s="187">
        <f t="shared" si="91"/>
        <v>100</v>
      </c>
      <c r="Y149" s="19">
        <v>5296</v>
      </c>
      <c r="Z149" s="20">
        <v>5296</v>
      </c>
      <c r="AA149" s="20">
        <f t="shared" si="92"/>
        <v>100</v>
      </c>
      <c r="AB149" s="20">
        <v>15339</v>
      </c>
      <c r="AC149" s="20">
        <v>15339</v>
      </c>
      <c r="AD149" s="20">
        <f t="shared" si="93"/>
        <v>100</v>
      </c>
      <c r="AE149" s="20">
        <f t="shared" si="94"/>
        <v>44255</v>
      </c>
      <c r="AF149" s="20">
        <f t="shared" si="95"/>
        <v>44255</v>
      </c>
      <c r="AG149" s="187">
        <f t="shared" si="96"/>
        <v>100</v>
      </c>
      <c r="AH149" s="59" t="s">
        <v>402</v>
      </c>
      <c r="AI149" s="19" t="s">
        <v>469</v>
      </c>
      <c r="AJ149" s="1">
        <v>4</v>
      </c>
      <c r="AK149" s="1">
        <v>300</v>
      </c>
      <c r="AL149" s="1">
        <f t="shared" si="104"/>
        <v>1200</v>
      </c>
      <c r="AM149" s="26">
        <f t="shared" si="97"/>
        <v>0</v>
      </c>
      <c r="AO149" s="26"/>
      <c r="AP149" s="181" t="s">
        <v>52</v>
      </c>
      <c r="AQ149" s="159">
        <v>20635</v>
      </c>
      <c r="AR149" s="159">
        <v>20635</v>
      </c>
      <c r="AS149" s="151">
        <f t="shared" si="98"/>
        <v>100</v>
      </c>
      <c r="AU149" s="26">
        <f t="shared" si="83"/>
        <v>0</v>
      </c>
      <c r="AV149" s="26">
        <f t="shared" si="84"/>
        <v>0</v>
      </c>
      <c r="AW149" s="26">
        <f t="shared" si="85"/>
        <v>0</v>
      </c>
      <c r="AX149" s="1">
        <v>4</v>
      </c>
    </row>
    <row r="150" spans="1:50" s="1" customFormat="1" x14ac:dyDescent="0.25">
      <c r="A150" s="172" t="s">
        <v>141</v>
      </c>
      <c r="B150" s="8">
        <v>8032165</v>
      </c>
      <c r="C150" s="8">
        <v>0</v>
      </c>
      <c r="D150" s="10">
        <v>1</v>
      </c>
      <c r="E150" s="10">
        <v>1</v>
      </c>
      <c r="F150" s="10"/>
      <c r="G150" s="10">
        <f t="shared" si="86"/>
        <v>75135</v>
      </c>
      <c r="H150" s="19">
        <f t="shared" si="87"/>
        <v>75135</v>
      </c>
      <c r="I150" s="19">
        <v>254</v>
      </c>
      <c r="J150" s="19">
        <v>66731</v>
      </c>
      <c r="K150" s="29">
        <f t="shared" si="88"/>
        <v>11.185199973381248</v>
      </c>
      <c r="L150" s="19" t="s">
        <v>58</v>
      </c>
      <c r="M150" s="23"/>
      <c r="N150" s="23">
        <v>42346</v>
      </c>
      <c r="O150" s="179">
        <f t="shared" si="89"/>
        <v>100</v>
      </c>
      <c r="P150" s="19">
        <v>100</v>
      </c>
      <c r="Q150" s="19">
        <f t="shared" si="103"/>
        <v>0</v>
      </c>
      <c r="R150" s="19"/>
      <c r="S150" s="19">
        <f t="shared" si="101"/>
        <v>46389</v>
      </c>
      <c r="T150" s="19">
        <f t="shared" si="102"/>
        <v>46389</v>
      </c>
      <c r="U150" s="20">
        <f t="shared" si="90"/>
        <v>100</v>
      </c>
      <c r="V150" s="19">
        <v>28746</v>
      </c>
      <c r="W150" s="19">
        <v>28746</v>
      </c>
      <c r="X150" s="187">
        <f t="shared" si="91"/>
        <v>100</v>
      </c>
      <c r="Y150" s="20">
        <v>21203</v>
      </c>
      <c r="Z150" s="20">
        <v>21203</v>
      </c>
      <c r="AA150" s="20">
        <f t="shared" si="92"/>
        <v>100</v>
      </c>
      <c r="AB150" s="20">
        <v>25186</v>
      </c>
      <c r="AC150" s="20">
        <v>25186</v>
      </c>
      <c r="AD150" s="20">
        <f t="shared" si="93"/>
        <v>100</v>
      </c>
      <c r="AE150" s="20">
        <f t="shared" si="94"/>
        <v>53932</v>
      </c>
      <c r="AF150" s="20">
        <f t="shared" si="95"/>
        <v>53932</v>
      </c>
      <c r="AG150" s="187">
        <f t="shared" si="96"/>
        <v>100</v>
      </c>
      <c r="AH150" s="59">
        <v>0</v>
      </c>
      <c r="AI150" s="19" t="s">
        <v>52</v>
      </c>
      <c r="AL150" s="1" t="str">
        <f t="shared" si="104"/>
        <v/>
      </c>
      <c r="AM150" s="26">
        <f t="shared" si="97"/>
        <v>0</v>
      </c>
      <c r="AN150" s="26" t="e">
        <f>IF(AL150&gt;0,AM150/AL150,"")</f>
        <v>#VALUE!</v>
      </c>
      <c r="AO150" s="26"/>
      <c r="AP150" s="181">
        <v>43160</v>
      </c>
      <c r="AQ150" s="159">
        <v>108661</v>
      </c>
      <c r="AR150" s="159">
        <v>42384</v>
      </c>
      <c r="AS150" s="151">
        <f t="shared" si="98"/>
        <v>39.005715021949001</v>
      </c>
      <c r="AU150" s="26">
        <f t="shared" si="83"/>
        <v>-62272</v>
      </c>
      <c r="AV150" s="26">
        <f t="shared" si="84"/>
        <v>4005</v>
      </c>
      <c r="AW150" s="26">
        <f t="shared" si="85"/>
        <v>60.994284978050999</v>
      </c>
      <c r="AX150" s="1">
        <v>3</v>
      </c>
    </row>
    <row r="151" spans="1:50" s="1" customFormat="1" x14ac:dyDescent="0.25">
      <c r="A151" s="173" t="s">
        <v>313</v>
      </c>
      <c r="B151" s="8">
        <v>7205694</v>
      </c>
      <c r="C151" s="8">
        <v>0</v>
      </c>
      <c r="D151" s="10">
        <v>1</v>
      </c>
      <c r="E151" s="10">
        <v>1</v>
      </c>
      <c r="F151" s="10"/>
      <c r="G151" s="10">
        <f t="shared" si="86"/>
        <v>40390</v>
      </c>
      <c r="H151" s="19">
        <f t="shared" si="87"/>
        <v>40390</v>
      </c>
      <c r="I151" s="19">
        <v>0</v>
      </c>
      <c r="J151" s="19">
        <v>40707</v>
      </c>
      <c r="K151" s="29">
        <f t="shared" si="88"/>
        <v>-0.78484773458776924</v>
      </c>
      <c r="L151" s="19" t="s">
        <v>58</v>
      </c>
      <c r="M151" s="23">
        <v>42774.559837962966</v>
      </c>
      <c r="N151" s="23"/>
      <c r="O151" s="179">
        <f t="shared" si="89"/>
        <v>100</v>
      </c>
      <c r="P151" s="19">
        <v>100</v>
      </c>
      <c r="Q151" s="19">
        <f t="shared" si="103"/>
        <v>0</v>
      </c>
      <c r="R151" s="19"/>
      <c r="S151" s="19">
        <f t="shared" si="101"/>
        <v>11773</v>
      </c>
      <c r="T151" s="19">
        <f t="shared" si="102"/>
        <v>11773</v>
      </c>
      <c r="U151" s="20">
        <f t="shared" si="90"/>
        <v>100</v>
      </c>
      <c r="V151" s="19">
        <v>28617</v>
      </c>
      <c r="W151" s="19">
        <v>28617</v>
      </c>
      <c r="X151" s="187">
        <f t="shared" si="91"/>
        <v>100</v>
      </c>
      <c r="Y151" s="19">
        <v>4655</v>
      </c>
      <c r="Z151" s="20">
        <v>4655</v>
      </c>
      <c r="AA151" s="20">
        <f t="shared" si="92"/>
        <v>100</v>
      </c>
      <c r="AB151" s="20">
        <v>7118</v>
      </c>
      <c r="AC151" s="20">
        <v>7118</v>
      </c>
      <c r="AD151" s="20">
        <f t="shared" si="93"/>
        <v>100</v>
      </c>
      <c r="AE151" s="20">
        <f t="shared" si="94"/>
        <v>35735</v>
      </c>
      <c r="AF151" s="20">
        <f t="shared" si="95"/>
        <v>35735</v>
      </c>
      <c r="AG151" s="187">
        <f t="shared" si="96"/>
        <v>100</v>
      </c>
      <c r="AH151" s="59" t="s">
        <v>405</v>
      </c>
      <c r="AI151" s="19" t="s">
        <v>526</v>
      </c>
      <c r="AL151" s="1" t="str">
        <f t="shared" si="104"/>
        <v/>
      </c>
      <c r="AM151" s="26">
        <f t="shared" si="97"/>
        <v>0</v>
      </c>
      <c r="AN151" s="26"/>
      <c r="AO151" s="26"/>
      <c r="AP151" s="181" t="s">
        <v>52</v>
      </c>
      <c r="AQ151" s="159">
        <v>11773</v>
      </c>
      <c r="AR151" s="159">
        <v>11773</v>
      </c>
      <c r="AS151" s="151">
        <f t="shared" si="98"/>
        <v>100</v>
      </c>
      <c r="AU151" s="26">
        <f t="shared" si="83"/>
        <v>0</v>
      </c>
      <c r="AV151" s="26">
        <f t="shared" si="84"/>
        <v>0</v>
      </c>
      <c r="AW151" s="26">
        <f t="shared" si="85"/>
        <v>0</v>
      </c>
      <c r="AX151" s="1">
        <v>4</v>
      </c>
    </row>
    <row r="152" spans="1:50" s="1" customFormat="1" x14ac:dyDescent="0.25">
      <c r="A152" s="141" t="s">
        <v>307</v>
      </c>
      <c r="B152" s="8">
        <v>8439940</v>
      </c>
      <c r="C152" s="8">
        <v>0</v>
      </c>
      <c r="D152" s="10">
        <v>1</v>
      </c>
      <c r="E152" s="10">
        <v>1</v>
      </c>
      <c r="F152" s="10"/>
      <c r="G152" s="10">
        <f t="shared" si="86"/>
        <v>51779</v>
      </c>
      <c r="H152" s="19">
        <f t="shared" si="87"/>
        <v>51779</v>
      </c>
      <c r="I152" s="19">
        <v>0</v>
      </c>
      <c r="J152" s="19">
        <v>51883</v>
      </c>
      <c r="K152" s="29">
        <f t="shared" si="88"/>
        <v>-0.20085362791865427</v>
      </c>
      <c r="L152" s="19" t="s">
        <v>58</v>
      </c>
      <c r="M152" s="23">
        <v>41738.476793981485</v>
      </c>
      <c r="N152" s="23" t="s">
        <v>64</v>
      </c>
      <c r="O152" s="179">
        <f t="shared" si="89"/>
        <v>100</v>
      </c>
      <c r="P152" s="19">
        <v>100</v>
      </c>
      <c r="Q152" s="19">
        <f t="shared" si="103"/>
        <v>0</v>
      </c>
      <c r="R152" s="19"/>
      <c r="S152" s="19">
        <f t="shared" si="101"/>
        <v>23220</v>
      </c>
      <c r="T152" s="19">
        <f t="shared" si="102"/>
        <v>23220</v>
      </c>
      <c r="U152" s="20">
        <f t="shared" si="90"/>
        <v>100</v>
      </c>
      <c r="V152" s="19">
        <v>28559</v>
      </c>
      <c r="W152" s="19">
        <v>28559</v>
      </c>
      <c r="X152" s="187">
        <f t="shared" si="91"/>
        <v>100</v>
      </c>
      <c r="Y152" s="19">
        <v>9782</v>
      </c>
      <c r="Z152" s="20">
        <v>9782</v>
      </c>
      <c r="AA152" s="20">
        <f t="shared" si="92"/>
        <v>100</v>
      </c>
      <c r="AB152" s="20">
        <v>13438</v>
      </c>
      <c r="AC152" s="20">
        <v>13438</v>
      </c>
      <c r="AD152" s="20">
        <f t="shared" si="93"/>
        <v>100</v>
      </c>
      <c r="AE152" s="20">
        <f t="shared" si="94"/>
        <v>41997</v>
      </c>
      <c r="AF152" s="20">
        <f t="shared" si="95"/>
        <v>41997</v>
      </c>
      <c r="AG152" s="187">
        <f t="shared" si="96"/>
        <v>100</v>
      </c>
      <c r="AH152" s="59" t="s">
        <v>553</v>
      </c>
      <c r="AI152" s="19" t="s">
        <v>556</v>
      </c>
      <c r="AJ152" s="1" t="s">
        <v>86</v>
      </c>
      <c r="AL152" s="1" t="str">
        <f t="shared" si="104"/>
        <v/>
      </c>
      <c r="AM152" s="26">
        <f t="shared" si="97"/>
        <v>0</v>
      </c>
      <c r="AN152" s="26"/>
      <c r="AO152" s="26"/>
      <c r="AP152" s="181">
        <v>43343</v>
      </c>
      <c r="AQ152" s="159">
        <v>23559</v>
      </c>
      <c r="AR152" s="159">
        <v>23559</v>
      </c>
      <c r="AS152" s="151">
        <f t="shared" si="98"/>
        <v>100</v>
      </c>
      <c r="AU152" s="26">
        <f t="shared" si="83"/>
        <v>-339</v>
      </c>
      <c r="AV152" s="26">
        <f t="shared" si="84"/>
        <v>-339</v>
      </c>
      <c r="AW152" s="26">
        <f t="shared" si="85"/>
        <v>0</v>
      </c>
      <c r="AX152" s="1">
        <v>2</v>
      </c>
    </row>
    <row r="153" spans="1:50" s="1" customFormat="1" x14ac:dyDescent="0.25">
      <c r="A153" s="141" t="s">
        <v>145</v>
      </c>
      <c r="B153" s="8">
        <v>7357826</v>
      </c>
      <c r="C153" s="8">
        <v>0</v>
      </c>
      <c r="D153" s="10">
        <v>1</v>
      </c>
      <c r="E153" s="10">
        <v>1</v>
      </c>
      <c r="F153" s="10"/>
      <c r="G153" s="10">
        <f t="shared" si="86"/>
        <v>55443</v>
      </c>
      <c r="H153" s="19">
        <f t="shared" si="87"/>
        <v>55443</v>
      </c>
      <c r="I153" s="19">
        <v>922</v>
      </c>
      <c r="J153" s="19">
        <v>52471</v>
      </c>
      <c r="K153" s="29">
        <f t="shared" si="88"/>
        <v>5.3604602925527116</v>
      </c>
      <c r="L153" s="19" t="s">
        <v>58</v>
      </c>
      <c r="M153" s="23"/>
      <c r="N153" s="23"/>
      <c r="O153" s="179">
        <f t="shared" si="89"/>
        <v>100</v>
      </c>
      <c r="P153" s="19">
        <v>75</v>
      </c>
      <c r="Q153" s="19">
        <f t="shared" si="103"/>
        <v>25</v>
      </c>
      <c r="R153" s="19"/>
      <c r="S153" s="19">
        <f t="shared" si="101"/>
        <v>26920</v>
      </c>
      <c r="T153" s="19">
        <f t="shared" si="102"/>
        <v>26920</v>
      </c>
      <c r="U153" s="20">
        <f t="shared" si="90"/>
        <v>100</v>
      </c>
      <c r="V153" s="19">
        <v>28523</v>
      </c>
      <c r="W153" s="19">
        <v>28523</v>
      </c>
      <c r="X153" s="187">
        <f t="shared" si="91"/>
        <v>100</v>
      </c>
      <c r="Y153" s="19">
        <v>3620</v>
      </c>
      <c r="Z153" s="20">
        <v>3620</v>
      </c>
      <c r="AA153" s="20">
        <f t="shared" si="92"/>
        <v>100</v>
      </c>
      <c r="AB153" s="20">
        <v>23300</v>
      </c>
      <c r="AC153" s="20">
        <v>23300</v>
      </c>
      <c r="AD153" s="20">
        <f t="shared" si="93"/>
        <v>100</v>
      </c>
      <c r="AE153" s="20">
        <f t="shared" si="94"/>
        <v>51823</v>
      </c>
      <c r="AF153" s="20">
        <f t="shared" si="95"/>
        <v>51823</v>
      </c>
      <c r="AG153" s="187">
        <f t="shared" si="96"/>
        <v>100</v>
      </c>
      <c r="AH153" s="59" t="s">
        <v>462</v>
      </c>
      <c r="AI153" s="19" t="s">
        <v>51</v>
      </c>
      <c r="AJ153" s="1">
        <v>5</v>
      </c>
      <c r="AK153" s="1">
        <v>50</v>
      </c>
      <c r="AL153" s="1">
        <f t="shared" si="104"/>
        <v>250</v>
      </c>
      <c r="AM153" s="26">
        <f t="shared" si="97"/>
        <v>0</v>
      </c>
      <c r="AN153" s="26">
        <f>IF(AL153&gt;0,AM153/AL153,"")</f>
        <v>0</v>
      </c>
      <c r="AO153" s="26">
        <v>12.543532338308458</v>
      </c>
      <c r="AP153" s="181" t="s">
        <v>52</v>
      </c>
      <c r="AQ153" s="159">
        <v>23000</v>
      </c>
      <c r="AR153" s="159">
        <v>23000</v>
      </c>
      <c r="AS153" s="151">
        <f t="shared" si="98"/>
        <v>100</v>
      </c>
      <c r="AU153" s="26">
        <f t="shared" si="83"/>
        <v>3920</v>
      </c>
      <c r="AV153" s="26">
        <f t="shared" si="84"/>
        <v>3920</v>
      </c>
      <c r="AW153" s="26">
        <f t="shared" si="85"/>
        <v>0</v>
      </c>
      <c r="AX153" s="1">
        <v>1</v>
      </c>
    </row>
    <row r="154" spans="1:50" s="1" customFormat="1" x14ac:dyDescent="0.25">
      <c r="A154" s="176" t="s">
        <v>311</v>
      </c>
      <c r="B154" s="8">
        <v>7170874</v>
      </c>
      <c r="C154" s="8">
        <v>0</v>
      </c>
      <c r="D154" s="10">
        <v>1</v>
      </c>
      <c r="E154" s="10">
        <v>1</v>
      </c>
      <c r="F154" s="10"/>
      <c r="G154" s="10">
        <f t="shared" si="86"/>
        <v>43902</v>
      </c>
      <c r="H154" s="19">
        <f t="shared" si="87"/>
        <v>43902</v>
      </c>
      <c r="I154" s="19">
        <v>0</v>
      </c>
      <c r="J154" s="19">
        <v>43964</v>
      </c>
      <c r="K154" s="29">
        <f t="shared" si="88"/>
        <v>-0.14122363445856681</v>
      </c>
      <c r="L154" s="19" t="s">
        <v>58</v>
      </c>
      <c r="M154" s="23">
        <v>42775.32540509259</v>
      </c>
      <c r="N154" s="23"/>
      <c r="O154" s="179">
        <f t="shared" si="89"/>
        <v>100</v>
      </c>
      <c r="P154" s="19">
        <v>100</v>
      </c>
      <c r="Q154" s="19">
        <f t="shared" si="103"/>
        <v>0</v>
      </c>
      <c r="R154" s="19"/>
      <c r="S154" s="19">
        <f t="shared" si="101"/>
        <v>16268</v>
      </c>
      <c r="T154" s="19">
        <f t="shared" si="102"/>
        <v>16268</v>
      </c>
      <c r="U154" s="20">
        <f t="shared" si="90"/>
        <v>100</v>
      </c>
      <c r="V154" s="19">
        <v>27634</v>
      </c>
      <c r="W154" s="19">
        <v>27634</v>
      </c>
      <c r="X154" s="187">
        <f t="shared" si="91"/>
        <v>100</v>
      </c>
      <c r="Y154" s="19">
        <v>176</v>
      </c>
      <c r="Z154" s="20">
        <v>176</v>
      </c>
      <c r="AA154" s="20">
        <f t="shared" si="92"/>
        <v>100</v>
      </c>
      <c r="AB154" s="20">
        <v>16092</v>
      </c>
      <c r="AC154" s="20">
        <v>16092</v>
      </c>
      <c r="AD154" s="20">
        <f t="shared" si="93"/>
        <v>100</v>
      </c>
      <c r="AE154" s="20">
        <f t="shared" si="94"/>
        <v>43726</v>
      </c>
      <c r="AF154" s="20">
        <f t="shared" si="95"/>
        <v>43726</v>
      </c>
      <c r="AG154" s="187">
        <f t="shared" si="96"/>
        <v>100</v>
      </c>
      <c r="AH154" s="59" t="s">
        <v>403</v>
      </c>
      <c r="AI154" s="19" t="s">
        <v>550</v>
      </c>
      <c r="AL154" s="1" t="str">
        <f t="shared" si="104"/>
        <v/>
      </c>
      <c r="AM154" s="26">
        <f t="shared" si="97"/>
        <v>0</v>
      </c>
      <c r="AN154" s="26"/>
      <c r="AO154" s="26"/>
      <c r="AP154" s="181" t="s">
        <v>52</v>
      </c>
      <c r="AQ154" s="159">
        <v>14608</v>
      </c>
      <c r="AR154" s="159">
        <v>14608</v>
      </c>
      <c r="AS154" s="151">
        <f t="shared" si="98"/>
        <v>100</v>
      </c>
      <c r="AU154" s="26">
        <f t="shared" si="83"/>
        <v>1660</v>
      </c>
      <c r="AV154" s="26">
        <f t="shared" si="84"/>
        <v>1660</v>
      </c>
      <c r="AW154" s="26">
        <f t="shared" si="85"/>
        <v>0</v>
      </c>
      <c r="AX154" s="1">
        <v>4</v>
      </c>
    </row>
    <row r="155" spans="1:50" s="1" customFormat="1" x14ac:dyDescent="0.25">
      <c r="A155" s="174" t="s">
        <v>29</v>
      </c>
      <c r="B155" s="8">
        <v>0</v>
      </c>
      <c r="C155" s="8">
        <v>1</v>
      </c>
      <c r="D155" s="10">
        <v>1</v>
      </c>
      <c r="E155" s="10">
        <v>1</v>
      </c>
      <c r="F155" s="10"/>
      <c r="G155" s="10">
        <f t="shared" si="86"/>
        <v>27300</v>
      </c>
      <c r="H155" s="19">
        <f t="shared" si="87"/>
        <v>27300</v>
      </c>
      <c r="I155" s="19">
        <v>0</v>
      </c>
      <c r="J155" s="19">
        <v>26789</v>
      </c>
      <c r="K155" s="29">
        <f t="shared" si="88"/>
        <v>1.871794871794872</v>
      </c>
      <c r="L155" s="19" t="s">
        <v>58</v>
      </c>
      <c r="M155" s="23">
        <v>42775.322870370372</v>
      </c>
      <c r="N155" s="23"/>
      <c r="O155" s="179">
        <f t="shared" si="89"/>
        <v>100</v>
      </c>
      <c r="P155" s="19">
        <v>100</v>
      </c>
      <c r="Q155" s="19">
        <f t="shared" si="103"/>
        <v>0</v>
      </c>
      <c r="R155" s="19"/>
      <c r="S155" s="19">
        <f t="shared" si="101"/>
        <v>0</v>
      </c>
      <c r="T155" s="19">
        <f t="shared" si="102"/>
        <v>0</v>
      </c>
      <c r="U155" s="20" t="str">
        <f t="shared" si="90"/>
        <v/>
      </c>
      <c r="V155" s="19">
        <v>27300</v>
      </c>
      <c r="W155" s="19">
        <v>27300</v>
      </c>
      <c r="X155" s="20">
        <f t="shared" si="91"/>
        <v>100</v>
      </c>
      <c r="Y155" s="19">
        <v>0</v>
      </c>
      <c r="Z155" s="20">
        <v>0</v>
      </c>
      <c r="AA155" s="20" t="str">
        <f t="shared" si="92"/>
        <v/>
      </c>
      <c r="AB155" s="20">
        <v>0</v>
      </c>
      <c r="AC155" s="20">
        <v>0</v>
      </c>
      <c r="AD155" s="20" t="str">
        <f t="shared" si="93"/>
        <v/>
      </c>
      <c r="AE155" s="20">
        <f t="shared" si="94"/>
        <v>27300</v>
      </c>
      <c r="AF155" s="20">
        <f t="shared" si="95"/>
        <v>27300</v>
      </c>
      <c r="AG155" s="20">
        <f t="shared" si="96"/>
        <v>100</v>
      </c>
      <c r="AH155" s="59" t="s">
        <v>123</v>
      </c>
      <c r="AI155" s="19" t="s">
        <v>507</v>
      </c>
      <c r="AL155" s="1" t="str">
        <f t="shared" si="104"/>
        <v/>
      </c>
      <c r="AM155" s="26">
        <f t="shared" si="97"/>
        <v>0</v>
      </c>
      <c r="AN155" s="26"/>
      <c r="AO155" s="26"/>
      <c r="AP155" s="181" t="s">
        <v>52</v>
      </c>
      <c r="AQ155" s="159">
        <v>0</v>
      </c>
      <c r="AR155" s="159">
        <v>0</v>
      </c>
      <c r="AS155" s="151" t="str">
        <f t="shared" si="98"/>
        <v/>
      </c>
      <c r="AU155" s="26">
        <f t="shared" si="83"/>
        <v>0</v>
      </c>
      <c r="AV155" s="26">
        <f t="shared" si="84"/>
        <v>0</v>
      </c>
      <c r="AW155" s="26" t="e">
        <f t="shared" si="85"/>
        <v>#VALUE!</v>
      </c>
      <c r="AX155" s="1">
        <v>4</v>
      </c>
    </row>
    <row r="156" spans="1:50" s="1" customFormat="1" x14ac:dyDescent="0.25">
      <c r="A156" s="141" t="s">
        <v>137</v>
      </c>
      <c r="B156" s="8">
        <v>7162901</v>
      </c>
      <c r="C156" s="8">
        <v>0</v>
      </c>
      <c r="D156" s="10">
        <v>1</v>
      </c>
      <c r="E156" s="10">
        <v>1</v>
      </c>
      <c r="F156" s="10"/>
      <c r="G156" s="10">
        <f t="shared" si="86"/>
        <v>47457</v>
      </c>
      <c r="H156" s="19">
        <f t="shared" si="87"/>
        <v>47457</v>
      </c>
      <c r="I156" s="19">
        <v>165</v>
      </c>
      <c r="J156" s="19">
        <v>47878</v>
      </c>
      <c r="K156" s="29">
        <f t="shared" si="88"/>
        <v>-0.88711886549929408</v>
      </c>
      <c r="L156" s="19" t="s">
        <v>58</v>
      </c>
      <c r="M156" s="23"/>
      <c r="N156" s="23" t="s">
        <v>72</v>
      </c>
      <c r="O156" s="179">
        <f t="shared" si="89"/>
        <v>100</v>
      </c>
      <c r="P156" s="19">
        <v>100</v>
      </c>
      <c r="Q156" s="19">
        <f t="shared" si="103"/>
        <v>0</v>
      </c>
      <c r="R156" s="19"/>
      <c r="S156" s="19">
        <f t="shared" si="101"/>
        <v>21811</v>
      </c>
      <c r="T156" s="19">
        <f t="shared" si="102"/>
        <v>21811</v>
      </c>
      <c r="U156" s="20">
        <f t="shared" si="90"/>
        <v>100</v>
      </c>
      <c r="V156" s="19">
        <v>25646</v>
      </c>
      <c r="W156" s="19">
        <v>25646</v>
      </c>
      <c r="X156" s="187">
        <f t="shared" si="91"/>
        <v>100</v>
      </c>
      <c r="Y156" s="19">
        <v>4543</v>
      </c>
      <c r="Z156" s="20">
        <v>4543</v>
      </c>
      <c r="AA156" s="20">
        <f t="shared" si="92"/>
        <v>100</v>
      </c>
      <c r="AB156" s="20">
        <v>17268</v>
      </c>
      <c r="AC156" s="20">
        <v>17268</v>
      </c>
      <c r="AD156" s="20">
        <f t="shared" si="93"/>
        <v>100</v>
      </c>
      <c r="AE156" s="20">
        <f t="shared" si="94"/>
        <v>42914</v>
      </c>
      <c r="AF156" s="20">
        <f t="shared" si="95"/>
        <v>42914</v>
      </c>
      <c r="AG156" s="187">
        <f t="shared" si="96"/>
        <v>100</v>
      </c>
      <c r="AH156" s="59" t="s">
        <v>51</v>
      </c>
      <c r="AI156" s="19" t="s">
        <v>52</v>
      </c>
      <c r="AL156" s="1" t="str">
        <f t="shared" si="104"/>
        <v/>
      </c>
      <c r="AM156" s="26">
        <f t="shared" si="97"/>
        <v>0</v>
      </c>
      <c r="AN156" s="26" t="e">
        <f>IF(AL156&gt;0,AM156/AL156,"")</f>
        <v>#VALUE!</v>
      </c>
      <c r="AO156" s="26">
        <v>52.688340807174889</v>
      </c>
      <c r="AP156" s="181" t="s">
        <v>52</v>
      </c>
      <c r="AQ156" s="159">
        <v>21811</v>
      </c>
      <c r="AR156" s="159">
        <v>21811</v>
      </c>
      <c r="AS156" s="151">
        <f t="shared" si="98"/>
        <v>100</v>
      </c>
      <c r="AU156" s="26">
        <f t="shared" si="83"/>
        <v>0</v>
      </c>
      <c r="AV156" s="26">
        <f t="shared" si="84"/>
        <v>0</v>
      </c>
      <c r="AW156" s="26">
        <f t="shared" si="85"/>
        <v>0</v>
      </c>
      <c r="AX156" s="1">
        <v>1</v>
      </c>
    </row>
    <row r="157" spans="1:50" s="1" customFormat="1" x14ac:dyDescent="0.25">
      <c r="A157" s="141" t="s">
        <v>294</v>
      </c>
      <c r="B157" s="8">
        <v>7355831</v>
      </c>
      <c r="C157" s="8">
        <v>0</v>
      </c>
      <c r="D157" s="10">
        <v>1</v>
      </c>
      <c r="E157" s="10">
        <v>1</v>
      </c>
      <c r="F157" s="10"/>
      <c r="G157" s="10">
        <f t="shared" si="86"/>
        <v>86083</v>
      </c>
      <c r="H157" s="19">
        <f t="shared" si="87"/>
        <v>86083</v>
      </c>
      <c r="I157" s="19">
        <v>0</v>
      </c>
      <c r="J157" s="19">
        <v>86092</v>
      </c>
      <c r="K157" s="29">
        <f t="shared" si="88"/>
        <v>-1.0455025963314477E-2</v>
      </c>
      <c r="L157" s="19" t="s">
        <v>58</v>
      </c>
      <c r="M157" s="23"/>
      <c r="N157" s="23">
        <v>42734</v>
      </c>
      <c r="O157" s="179">
        <f t="shared" si="89"/>
        <v>100</v>
      </c>
      <c r="P157" s="19">
        <v>100</v>
      </c>
      <c r="Q157" s="19">
        <f t="shared" si="103"/>
        <v>0</v>
      </c>
      <c r="R157" s="19"/>
      <c r="S157" s="19">
        <f t="shared" si="101"/>
        <v>62201</v>
      </c>
      <c r="T157" s="19">
        <f t="shared" si="102"/>
        <v>62201</v>
      </c>
      <c r="U157" s="20">
        <f t="shared" si="90"/>
        <v>100</v>
      </c>
      <c r="V157" s="19">
        <v>23882</v>
      </c>
      <c r="W157" s="19">
        <v>23882</v>
      </c>
      <c r="X157" s="187">
        <f t="shared" si="91"/>
        <v>100</v>
      </c>
      <c r="Y157" s="19">
        <v>5503</v>
      </c>
      <c r="Z157" s="20">
        <v>5503</v>
      </c>
      <c r="AA157" s="20">
        <f t="shared" si="92"/>
        <v>100</v>
      </c>
      <c r="AB157" s="20">
        <v>56698</v>
      </c>
      <c r="AC157" s="20">
        <v>56698</v>
      </c>
      <c r="AD157" s="20">
        <f t="shared" si="93"/>
        <v>100</v>
      </c>
      <c r="AE157" s="20">
        <f t="shared" si="94"/>
        <v>80580</v>
      </c>
      <c r="AF157" s="20">
        <f t="shared" si="95"/>
        <v>80580</v>
      </c>
      <c r="AG157" s="187">
        <f t="shared" si="96"/>
        <v>100</v>
      </c>
      <c r="AH157" s="59" t="s">
        <v>254</v>
      </c>
      <c r="AI157" s="19" t="s">
        <v>52</v>
      </c>
      <c r="AL157" s="1" t="str">
        <f t="shared" si="104"/>
        <v/>
      </c>
      <c r="AM157" s="26">
        <f t="shared" si="97"/>
        <v>0</v>
      </c>
      <c r="AN157" s="26"/>
      <c r="AO157" s="26"/>
      <c r="AP157" s="181" t="s">
        <v>52</v>
      </c>
      <c r="AQ157" s="159">
        <v>35854</v>
      </c>
      <c r="AR157" s="159">
        <v>35854</v>
      </c>
      <c r="AS157" s="151">
        <f t="shared" si="98"/>
        <v>100</v>
      </c>
      <c r="AU157" s="26">
        <f t="shared" si="83"/>
        <v>26347</v>
      </c>
      <c r="AV157" s="26">
        <f t="shared" si="84"/>
        <v>26347</v>
      </c>
      <c r="AW157" s="26">
        <f t="shared" si="85"/>
        <v>0</v>
      </c>
      <c r="AX157" s="1">
        <v>2</v>
      </c>
    </row>
    <row r="158" spans="1:50" s="1" customFormat="1" x14ac:dyDescent="0.25">
      <c r="A158" s="141" t="s">
        <v>293</v>
      </c>
      <c r="B158" s="8">
        <v>7106564</v>
      </c>
      <c r="C158" s="8">
        <v>0</v>
      </c>
      <c r="D158" s="10">
        <v>1</v>
      </c>
      <c r="E158" s="10">
        <v>1</v>
      </c>
      <c r="F158" s="10"/>
      <c r="G158" s="10">
        <f t="shared" si="86"/>
        <v>95897</v>
      </c>
      <c r="H158" s="19">
        <f t="shared" si="87"/>
        <v>95897</v>
      </c>
      <c r="I158" s="19">
        <v>0</v>
      </c>
      <c r="J158" s="19">
        <v>69358</v>
      </c>
      <c r="K158" s="29">
        <f t="shared" si="88"/>
        <v>27.67448408187952</v>
      </c>
      <c r="L158" s="19" t="s">
        <v>58</v>
      </c>
      <c r="M158" s="23"/>
      <c r="N158" s="23" t="s">
        <v>62</v>
      </c>
      <c r="O158" s="179">
        <f t="shared" si="89"/>
        <v>100</v>
      </c>
      <c r="P158" s="19">
        <v>100</v>
      </c>
      <c r="Q158" s="19">
        <f t="shared" si="103"/>
        <v>0</v>
      </c>
      <c r="R158" s="19"/>
      <c r="S158" s="19">
        <f t="shared" si="101"/>
        <v>72942</v>
      </c>
      <c r="T158" s="19">
        <f t="shared" si="102"/>
        <v>72942</v>
      </c>
      <c r="U158" s="20">
        <f t="shared" si="90"/>
        <v>100</v>
      </c>
      <c r="V158" s="19">
        <v>22955</v>
      </c>
      <c r="W158" s="19">
        <v>22955</v>
      </c>
      <c r="X158" s="187">
        <f t="shared" si="91"/>
        <v>100</v>
      </c>
      <c r="Y158" s="19">
        <v>21500</v>
      </c>
      <c r="Z158" s="20">
        <v>21500</v>
      </c>
      <c r="AA158" s="20">
        <f t="shared" si="92"/>
        <v>100</v>
      </c>
      <c r="AB158" s="20">
        <v>51442</v>
      </c>
      <c r="AC158" s="20">
        <v>51442</v>
      </c>
      <c r="AD158" s="20">
        <f t="shared" si="93"/>
        <v>100</v>
      </c>
      <c r="AE158" s="20">
        <f t="shared" si="94"/>
        <v>74397</v>
      </c>
      <c r="AF158" s="20">
        <f t="shared" si="95"/>
        <v>74397</v>
      </c>
      <c r="AG158" s="187">
        <f t="shared" si="96"/>
        <v>100</v>
      </c>
      <c r="AH158" s="59" t="s">
        <v>382</v>
      </c>
      <c r="AI158" s="19" t="s">
        <v>52</v>
      </c>
      <c r="AL158" s="1" t="str">
        <f t="shared" si="104"/>
        <v/>
      </c>
      <c r="AM158" s="26">
        <f t="shared" si="97"/>
        <v>0</v>
      </c>
      <c r="AN158" s="26" t="e">
        <f>IF(AL158&gt;0,AM158/AL158,"")</f>
        <v>#VALUE!</v>
      </c>
      <c r="AO158" s="26">
        <v>29.468160978094751</v>
      </c>
      <c r="AP158" s="181" t="s">
        <v>52</v>
      </c>
      <c r="AQ158" s="159">
        <v>40118</v>
      </c>
      <c r="AR158" s="159">
        <v>40118</v>
      </c>
      <c r="AS158" s="151">
        <f t="shared" si="98"/>
        <v>100</v>
      </c>
      <c r="AU158" s="26">
        <f t="shared" si="83"/>
        <v>32824</v>
      </c>
      <c r="AV158" s="26">
        <f t="shared" si="84"/>
        <v>32824</v>
      </c>
      <c r="AW158" s="26">
        <f t="shared" si="85"/>
        <v>0</v>
      </c>
      <c r="AX158" s="1">
        <v>1</v>
      </c>
    </row>
    <row r="159" spans="1:50" s="1" customFormat="1" x14ac:dyDescent="0.25">
      <c r="A159" s="141" t="s">
        <v>203</v>
      </c>
      <c r="B159" s="8">
        <v>7174977</v>
      </c>
      <c r="C159" s="8">
        <v>0</v>
      </c>
      <c r="D159" s="10">
        <v>1</v>
      </c>
      <c r="E159" s="10">
        <v>1</v>
      </c>
      <c r="F159" s="10"/>
      <c r="G159" s="10">
        <f t="shared" si="86"/>
        <v>38230</v>
      </c>
      <c r="H159" s="19">
        <f t="shared" si="87"/>
        <v>38230</v>
      </c>
      <c r="I159" s="19">
        <v>535</v>
      </c>
      <c r="J159" s="19">
        <v>27871</v>
      </c>
      <c r="K159" s="29">
        <f t="shared" si="88"/>
        <v>27.096521056761709</v>
      </c>
      <c r="L159" s="19" t="s">
        <v>58</v>
      </c>
      <c r="M159" s="23">
        <v>42706.575555555559</v>
      </c>
      <c r="N159" s="23">
        <v>42655</v>
      </c>
      <c r="O159" s="179">
        <f t="shared" si="89"/>
        <v>100</v>
      </c>
      <c r="P159" s="19">
        <v>55.5</v>
      </c>
      <c r="Q159" s="19">
        <f t="shared" si="103"/>
        <v>45</v>
      </c>
      <c r="R159" s="19"/>
      <c r="S159" s="19">
        <f t="shared" si="101"/>
        <v>17476</v>
      </c>
      <c r="T159" s="19">
        <f t="shared" si="102"/>
        <v>17476</v>
      </c>
      <c r="U159" s="20">
        <f t="shared" si="90"/>
        <v>100</v>
      </c>
      <c r="V159" s="19">
        <v>20754</v>
      </c>
      <c r="W159" s="19">
        <v>20754</v>
      </c>
      <c r="X159" s="187">
        <f t="shared" si="91"/>
        <v>100</v>
      </c>
      <c r="Y159" s="20">
        <v>5571</v>
      </c>
      <c r="Z159" s="20">
        <v>5571</v>
      </c>
      <c r="AA159" s="20">
        <f t="shared" si="92"/>
        <v>100</v>
      </c>
      <c r="AB159" s="20">
        <v>11905</v>
      </c>
      <c r="AC159" s="20">
        <v>11905</v>
      </c>
      <c r="AD159" s="20">
        <f t="shared" si="93"/>
        <v>100</v>
      </c>
      <c r="AE159" s="20">
        <f t="shared" si="94"/>
        <v>32659</v>
      </c>
      <c r="AF159" s="20">
        <f t="shared" si="95"/>
        <v>32659</v>
      </c>
      <c r="AG159" s="187">
        <f t="shared" si="96"/>
        <v>100</v>
      </c>
      <c r="AH159" s="59" t="s">
        <v>468</v>
      </c>
      <c r="AI159" s="19" t="s">
        <v>52</v>
      </c>
      <c r="AJ159" s="1">
        <v>4</v>
      </c>
      <c r="AK159" s="1">
        <v>30</v>
      </c>
      <c r="AL159" s="1">
        <f t="shared" si="104"/>
        <v>120</v>
      </c>
      <c r="AM159" s="26">
        <f t="shared" si="97"/>
        <v>0</v>
      </c>
      <c r="AN159" s="26">
        <f>IF(AL159&gt;0,AM159/AL159,"")</f>
        <v>0</v>
      </c>
      <c r="AO159" s="26">
        <v>118.07039537126326</v>
      </c>
      <c r="AP159" s="181" t="s">
        <v>52</v>
      </c>
      <c r="AQ159" s="159">
        <v>11905</v>
      </c>
      <c r="AR159" s="159">
        <v>4891</v>
      </c>
      <c r="AS159" s="151">
        <f t="shared" si="98"/>
        <v>41.083578328433425</v>
      </c>
      <c r="AU159" s="26">
        <f t="shared" si="83"/>
        <v>5571</v>
      </c>
      <c r="AV159" s="26">
        <f t="shared" si="84"/>
        <v>12585</v>
      </c>
      <c r="AW159" s="26">
        <f t="shared" si="85"/>
        <v>58.916421671566575</v>
      </c>
      <c r="AX159" s="1">
        <v>2</v>
      </c>
    </row>
    <row r="160" spans="1:50" s="1" customFormat="1" x14ac:dyDescent="0.25">
      <c r="A160" s="174" t="s">
        <v>28</v>
      </c>
      <c r="B160" s="8">
        <v>0</v>
      </c>
      <c r="C160" s="8">
        <v>1</v>
      </c>
      <c r="D160" s="10">
        <v>1</v>
      </c>
      <c r="E160" s="10">
        <v>1</v>
      </c>
      <c r="F160" s="10"/>
      <c r="G160" s="10">
        <f t="shared" si="86"/>
        <v>20070</v>
      </c>
      <c r="H160" s="19">
        <f t="shared" si="87"/>
        <v>20070</v>
      </c>
      <c r="I160" s="19">
        <v>0</v>
      </c>
      <c r="J160" s="19">
        <v>20103</v>
      </c>
      <c r="K160" s="29">
        <f t="shared" si="88"/>
        <v>-0.16442451420029897</v>
      </c>
      <c r="L160" s="19" t="s">
        <v>58</v>
      </c>
      <c r="M160" s="23">
        <v>42774.506863425922</v>
      </c>
      <c r="N160" s="23"/>
      <c r="O160" s="179">
        <f t="shared" si="89"/>
        <v>100</v>
      </c>
      <c r="P160" s="19">
        <v>100</v>
      </c>
      <c r="Q160" s="19">
        <f t="shared" si="103"/>
        <v>0</v>
      </c>
      <c r="R160" s="19"/>
      <c r="S160" s="19">
        <f t="shared" si="101"/>
        <v>0</v>
      </c>
      <c r="T160" s="19">
        <f t="shared" si="102"/>
        <v>0</v>
      </c>
      <c r="U160" s="20" t="str">
        <f t="shared" si="90"/>
        <v/>
      </c>
      <c r="V160" s="19">
        <v>20070</v>
      </c>
      <c r="W160" s="19">
        <v>20070</v>
      </c>
      <c r="X160" s="20">
        <f t="shared" si="91"/>
        <v>100</v>
      </c>
      <c r="Y160" s="19">
        <v>0</v>
      </c>
      <c r="Z160" s="20">
        <v>0</v>
      </c>
      <c r="AA160" s="20" t="str">
        <f t="shared" si="92"/>
        <v/>
      </c>
      <c r="AB160" s="20">
        <v>0</v>
      </c>
      <c r="AC160" s="20">
        <v>0</v>
      </c>
      <c r="AD160" s="20" t="str">
        <f t="shared" si="93"/>
        <v/>
      </c>
      <c r="AE160" s="20">
        <f t="shared" si="94"/>
        <v>20070</v>
      </c>
      <c r="AF160" s="20">
        <f t="shared" si="95"/>
        <v>20070</v>
      </c>
      <c r="AG160" s="20">
        <f t="shared" si="96"/>
        <v>100</v>
      </c>
      <c r="AH160" s="59" t="e">
        <v>#N/A</v>
      </c>
      <c r="AI160" s="19" t="s">
        <v>52</v>
      </c>
      <c r="AL160" s="1" t="str">
        <f t="shared" si="104"/>
        <v/>
      </c>
      <c r="AM160" s="26">
        <f t="shared" si="97"/>
        <v>0</v>
      </c>
      <c r="AN160" s="26" t="e">
        <f>IF(AL160&gt;0,AM160/AL160,"")</f>
        <v>#VALUE!</v>
      </c>
      <c r="AO160" s="26">
        <v>3.4534995206136148</v>
      </c>
      <c r="AP160" s="181" t="s">
        <v>52</v>
      </c>
      <c r="AQ160" s="159">
        <v>0</v>
      </c>
      <c r="AR160" s="159">
        <v>0</v>
      </c>
      <c r="AS160" s="151" t="str">
        <f t="shared" si="98"/>
        <v/>
      </c>
      <c r="AU160" s="26">
        <f t="shared" si="83"/>
        <v>0</v>
      </c>
      <c r="AV160" s="26">
        <f t="shared" si="84"/>
        <v>0</v>
      </c>
      <c r="AW160" s="26" t="e">
        <f t="shared" si="85"/>
        <v>#VALUE!</v>
      </c>
      <c r="AX160" s="1">
        <v>4</v>
      </c>
    </row>
    <row r="161" spans="1:50" s="1" customFormat="1" x14ac:dyDescent="0.25">
      <c r="A161" s="142" t="s">
        <v>149</v>
      </c>
      <c r="B161">
        <v>7193807</v>
      </c>
      <c r="C161" s="8">
        <v>1</v>
      </c>
      <c r="D161" s="10">
        <v>1</v>
      </c>
      <c r="E161" s="10">
        <v>1</v>
      </c>
      <c r="F161" s="13"/>
      <c r="G161" s="10">
        <f t="shared" si="86"/>
        <v>29302</v>
      </c>
      <c r="H161" s="19">
        <f t="shared" si="87"/>
        <v>29302</v>
      </c>
      <c r="I161" s="19">
        <v>48</v>
      </c>
      <c r="J161" s="19">
        <v>27217</v>
      </c>
      <c r="K161" s="29">
        <f t="shared" si="88"/>
        <v>7.1155552522012151</v>
      </c>
      <c r="L161" s="19" t="s">
        <v>58</v>
      </c>
      <c r="M161" s="23"/>
      <c r="N161" s="23">
        <v>42697</v>
      </c>
      <c r="O161" s="179">
        <f t="shared" si="89"/>
        <v>100</v>
      </c>
      <c r="P161" s="21">
        <v>97.5</v>
      </c>
      <c r="Q161" s="19">
        <f t="shared" si="103"/>
        <v>3</v>
      </c>
      <c r="R161" s="19"/>
      <c r="S161" s="19">
        <f t="shared" si="101"/>
        <v>9640</v>
      </c>
      <c r="T161" s="19">
        <f t="shared" si="102"/>
        <v>9640</v>
      </c>
      <c r="U161" s="20">
        <f t="shared" si="90"/>
        <v>100</v>
      </c>
      <c r="V161" s="19">
        <v>19662</v>
      </c>
      <c r="W161" s="60">
        <v>19662</v>
      </c>
      <c r="X161" s="20">
        <f t="shared" si="91"/>
        <v>100</v>
      </c>
      <c r="Y161" s="20">
        <v>0</v>
      </c>
      <c r="Z161" s="20">
        <v>0</v>
      </c>
      <c r="AA161" s="20" t="str">
        <f t="shared" si="92"/>
        <v/>
      </c>
      <c r="AB161" s="20">
        <v>9640</v>
      </c>
      <c r="AC161" s="20">
        <v>9640</v>
      </c>
      <c r="AD161" s="20">
        <f t="shared" si="93"/>
        <v>100</v>
      </c>
      <c r="AE161" s="20">
        <f t="shared" si="94"/>
        <v>29302</v>
      </c>
      <c r="AF161" s="20">
        <f t="shared" si="95"/>
        <v>29302</v>
      </c>
      <c r="AG161" s="20">
        <f t="shared" si="96"/>
        <v>100</v>
      </c>
      <c r="AH161" s="59" t="s">
        <v>530</v>
      </c>
      <c r="AI161" s="19">
        <v>0</v>
      </c>
      <c r="AL161" s="1" t="str">
        <f t="shared" si="104"/>
        <v/>
      </c>
      <c r="AM161" s="26">
        <f t="shared" si="97"/>
        <v>0</v>
      </c>
      <c r="AN161" s="26" t="e">
        <f>IF(AL161&gt;0,AM161/AL161,"")</f>
        <v>#VALUE!</v>
      </c>
      <c r="AO161" s="26">
        <v>12.249269005847953</v>
      </c>
      <c r="AP161" s="181">
        <v>43190</v>
      </c>
      <c r="AQ161" s="159">
        <v>9640</v>
      </c>
      <c r="AR161" s="22">
        <v>8140</v>
      </c>
      <c r="AS161" s="151">
        <f t="shared" si="98"/>
        <v>84.439834024896271</v>
      </c>
      <c r="AU161" s="26">
        <f t="shared" si="83"/>
        <v>0</v>
      </c>
      <c r="AV161" s="26">
        <f t="shared" si="84"/>
        <v>1500</v>
      </c>
      <c r="AW161" s="26">
        <f t="shared" si="85"/>
        <v>15.560165975103729</v>
      </c>
      <c r="AX161" s="1">
        <v>2</v>
      </c>
    </row>
    <row r="162" spans="1:50" s="1" customFormat="1" x14ac:dyDescent="0.25">
      <c r="A162" s="142" t="s">
        <v>148</v>
      </c>
      <c r="B162">
        <v>7193807</v>
      </c>
      <c r="C162" s="8">
        <v>1</v>
      </c>
      <c r="D162" s="10">
        <v>1</v>
      </c>
      <c r="E162" s="13">
        <v>1</v>
      </c>
      <c r="F162" s="13"/>
      <c r="G162" s="10">
        <f t="shared" si="86"/>
        <v>26253</v>
      </c>
      <c r="H162" s="19">
        <f t="shared" si="87"/>
        <v>26253</v>
      </c>
      <c r="I162" s="19">
        <v>2067</v>
      </c>
      <c r="J162" s="19">
        <v>21984</v>
      </c>
      <c r="K162" s="29">
        <f t="shared" si="88"/>
        <v>16.260998743000801</v>
      </c>
      <c r="L162" s="19" t="s">
        <v>58</v>
      </c>
      <c r="M162" s="23"/>
      <c r="N162" s="23">
        <v>42697</v>
      </c>
      <c r="O162" s="179">
        <f t="shared" si="89"/>
        <v>100</v>
      </c>
      <c r="P162" s="21">
        <v>99.5</v>
      </c>
      <c r="Q162" s="19">
        <f t="shared" si="103"/>
        <v>1</v>
      </c>
      <c r="R162" s="19"/>
      <c r="S162" s="19">
        <f t="shared" si="101"/>
        <v>6859</v>
      </c>
      <c r="T162" s="19">
        <f t="shared" si="102"/>
        <v>6859</v>
      </c>
      <c r="U162" s="20">
        <f t="shared" si="90"/>
        <v>100</v>
      </c>
      <c r="V162" s="19">
        <v>19394</v>
      </c>
      <c r="W162" s="22">
        <v>19394</v>
      </c>
      <c r="X162" s="20">
        <f t="shared" si="91"/>
        <v>100</v>
      </c>
      <c r="Y162" s="20">
        <v>0</v>
      </c>
      <c r="Z162" s="20">
        <v>0</v>
      </c>
      <c r="AA162" s="20" t="str">
        <f t="shared" si="92"/>
        <v/>
      </c>
      <c r="AB162" s="20">
        <v>6859</v>
      </c>
      <c r="AC162" s="20">
        <v>6859</v>
      </c>
      <c r="AD162" s="20">
        <f t="shared" si="93"/>
        <v>100</v>
      </c>
      <c r="AE162" s="20">
        <f t="shared" si="94"/>
        <v>26253</v>
      </c>
      <c r="AF162" s="20">
        <f t="shared" si="95"/>
        <v>26253</v>
      </c>
      <c r="AG162" s="20">
        <f t="shared" si="96"/>
        <v>100</v>
      </c>
      <c r="AH162" s="59" t="s">
        <v>499</v>
      </c>
      <c r="AI162" s="19" t="s">
        <v>529</v>
      </c>
      <c r="AL162" s="1" t="str">
        <f t="shared" si="104"/>
        <v/>
      </c>
      <c r="AM162" s="26">
        <f t="shared" si="97"/>
        <v>0</v>
      </c>
      <c r="AN162" s="26" t="e">
        <f>IF(AL162&gt;0,AM162/AL162,"")</f>
        <v>#VALUE!</v>
      </c>
      <c r="AO162" s="26">
        <v>10.610110244689432</v>
      </c>
      <c r="AP162" s="181">
        <v>43190</v>
      </c>
      <c r="AQ162" s="159">
        <v>6859</v>
      </c>
      <c r="AR162" s="22">
        <v>5691</v>
      </c>
      <c r="AS162" s="151">
        <f t="shared" si="98"/>
        <v>82.971278612042582</v>
      </c>
      <c r="AU162" s="26">
        <f t="shared" ref="AU162:AU177" si="105">S162-AQ162</f>
        <v>0</v>
      </c>
      <c r="AV162" s="26">
        <f t="shared" ref="AV162:AV177" si="106">T162-AR162</f>
        <v>1168</v>
      </c>
      <c r="AW162" s="26">
        <f t="shared" ref="AW162:AW177" si="107">U162-AS162</f>
        <v>17.028721387957418</v>
      </c>
      <c r="AX162" s="1">
        <v>2</v>
      </c>
    </row>
    <row r="163" spans="1:50" s="1" customFormat="1" x14ac:dyDescent="0.25">
      <c r="A163" s="141" t="s">
        <v>312</v>
      </c>
      <c r="B163" s="8">
        <v>7713754</v>
      </c>
      <c r="C163" s="8">
        <v>0</v>
      </c>
      <c r="D163" s="10">
        <v>1</v>
      </c>
      <c r="E163" s="10">
        <v>1</v>
      </c>
      <c r="F163" s="10"/>
      <c r="G163" s="10">
        <f t="shared" si="86"/>
        <v>41077</v>
      </c>
      <c r="H163" s="19">
        <f t="shared" si="87"/>
        <v>41077</v>
      </c>
      <c r="I163" s="19">
        <v>0</v>
      </c>
      <c r="J163" s="19">
        <v>41152</v>
      </c>
      <c r="K163" s="29">
        <f t="shared" si="88"/>
        <v>-0.18258392774545368</v>
      </c>
      <c r="L163" s="19" t="s">
        <v>58</v>
      </c>
      <c r="M163" s="23"/>
      <c r="N163" s="23">
        <v>42195</v>
      </c>
      <c r="O163" s="179">
        <f t="shared" si="89"/>
        <v>100</v>
      </c>
      <c r="P163" s="19">
        <v>100</v>
      </c>
      <c r="Q163" s="19">
        <f t="shared" si="103"/>
        <v>0</v>
      </c>
      <c r="R163" s="19"/>
      <c r="S163" s="19">
        <f t="shared" si="101"/>
        <v>24568</v>
      </c>
      <c r="T163" s="19">
        <f t="shared" si="102"/>
        <v>24568</v>
      </c>
      <c r="U163" s="20">
        <f t="shared" si="90"/>
        <v>100</v>
      </c>
      <c r="V163" s="19">
        <v>16509</v>
      </c>
      <c r="W163" s="19">
        <v>16509</v>
      </c>
      <c r="X163" s="187">
        <f t="shared" si="91"/>
        <v>100</v>
      </c>
      <c r="Y163" s="19">
        <v>13258</v>
      </c>
      <c r="Z163" s="20">
        <v>13258</v>
      </c>
      <c r="AA163" s="20">
        <f t="shared" si="92"/>
        <v>100</v>
      </c>
      <c r="AB163" s="20">
        <v>11310</v>
      </c>
      <c r="AC163" s="20">
        <v>11310</v>
      </c>
      <c r="AD163" s="20">
        <f t="shared" si="93"/>
        <v>100</v>
      </c>
      <c r="AE163" s="20">
        <f t="shared" si="94"/>
        <v>27819</v>
      </c>
      <c r="AF163" s="20">
        <f t="shared" si="95"/>
        <v>27819</v>
      </c>
      <c r="AG163" s="187">
        <f t="shared" si="96"/>
        <v>100</v>
      </c>
      <c r="AH163" s="59" t="s">
        <v>404</v>
      </c>
      <c r="AI163" s="19" t="s">
        <v>520</v>
      </c>
      <c r="AL163" s="1" t="str">
        <f t="shared" si="104"/>
        <v/>
      </c>
      <c r="AM163" s="26">
        <f t="shared" si="97"/>
        <v>0</v>
      </c>
      <c r="AN163" s="26"/>
      <c r="AO163" s="26"/>
      <c r="AP163" s="181" t="s">
        <v>52</v>
      </c>
      <c r="AQ163" s="159">
        <v>24578</v>
      </c>
      <c r="AR163" s="159">
        <v>24578</v>
      </c>
      <c r="AS163" s="151">
        <f t="shared" si="98"/>
        <v>100</v>
      </c>
      <c r="AU163" s="26">
        <f t="shared" si="105"/>
        <v>-10</v>
      </c>
      <c r="AV163" s="26">
        <f t="shared" si="106"/>
        <v>-10</v>
      </c>
      <c r="AW163" s="26">
        <f t="shared" si="107"/>
        <v>0</v>
      </c>
      <c r="AX163" s="1">
        <v>2</v>
      </c>
    </row>
    <row r="164" spans="1:50" s="1" customFormat="1" x14ac:dyDescent="0.25">
      <c r="A164" s="174" t="s">
        <v>315</v>
      </c>
      <c r="B164" s="8">
        <v>0</v>
      </c>
      <c r="C164" s="8">
        <v>1</v>
      </c>
      <c r="D164" s="10">
        <v>1</v>
      </c>
      <c r="E164" s="10">
        <v>1</v>
      </c>
      <c r="F164" s="10"/>
      <c r="G164" s="10">
        <f t="shared" ref="G164:G177" si="108">SUM(S164,V164)</f>
        <v>12974</v>
      </c>
      <c r="H164" s="19">
        <f t="shared" ref="H164:H177" si="109">SUM(T164,W164)</f>
        <v>12974</v>
      </c>
      <c r="I164" s="19">
        <v>0</v>
      </c>
      <c r="J164" s="19">
        <v>12783</v>
      </c>
      <c r="K164" s="29">
        <f t="shared" ref="K164:K177" si="110">(H164-J164)/H164*100</f>
        <v>1.4721751194697086</v>
      </c>
      <c r="L164" s="19" t="s">
        <v>58</v>
      </c>
      <c r="M164" s="23">
        <v>42775.321689814817</v>
      </c>
      <c r="N164" s="23"/>
      <c r="O164" s="179">
        <f t="shared" ref="O164:O177" si="111">IFERROR(100*H164/G164,"")</f>
        <v>100</v>
      </c>
      <c r="P164" s="19">
        <v>100</v>
      </c>
      <c r="Q164" s="19">
        <f t="shared" si="103"/>
        <v>0</v>
      </c>
      <c r="R164" s="19"/>
      <c r="S164" s="19">
        <f t="shared" si="101"/>
        <v>0</v>
      </c>
      <c r="T164" s="19">
        <f t="shared" si="102"/>
        <v>0</v>
      </c>
      <c r="U164" s="20" t="str">
        <f t="shared" ref="U164:U177" si="112">IFERROR(T164/S164*100,"")</f>
        <v/>
      </c>
      <c r="V164" s="19">
        <v>12974</v>
      </c>
      <c r="W164" s="19">
        <v>12974</v>
      </c>
      <c r="X164" s="20">
        <f t="shared" ref="X164:X177" si="113">IFERROR(W164/V164*100,"")</f>
        <v>100</v>
      </c>
      <c r="Y164" s="19">
        <v>0</v>
      </c>
      <c r="Z164" s="20">
        <v>0</v>
      </c>
      <c r="AA164" s="20" t="str">
        <f t="shared" ref="AA164:AA177" si="114">IFERROR(Z164/Y164*100,"")</f>
        <v/>
      </c>
      <c r="AB164" s="20">
        <v>0</v>
      </c>
      <c r="AC164" s="20">
        <v>0</v>
      </c>
      <c r="AD164" s="20" t="str">
        <f t="shared" ref="AD164:AD177" si="115">IFERROR(AC164/AB164*100,"")</f>
        <v/>
      </c>
      <c r="AE164" s="20">
        <f t="shared" ref="AE164:AE177" si="116">AB164+V164</f>
        <v>12974</v>
      </c>
      <c r="AF164" s="20">
        <f t="shared" ref="AF164:AF177" si="117">AC164+W164</f>
        <v>12974</v>
      </c>
      <c r="AG164" s="20">
        <f t="shared" ref="AG164:AG177" si="118">IFERROR(AF164/AE164*100,"")</f>
        <v>100</v>
      </c>
      <c r="AH164" s="59" t="s">
        <v>123</v>
      </c>
      <c r="AI164" s="19" t="s">
        <v>52</v>
      </c>
      <c r="AL164" s="1" t="str">
        <f t="shared" si="104"/>
        <v/>
      </c>
      <c r="AM164" s="26">
        <f t="shared" ref="AM164:AM177" si="119">G164-H164</f>
        <v>0</v>
      </c>
      <c r="AN164" s="26" t="e">
        <f>IF(AL164&gt;0,AM164/AL164,"")</f>
        <v>#VALUE!</v>
      </c>
      <c r="AO164" s="26">
        <v>16.674386920980925</v>
      </c>
      <c r="AP164" s="181" t="s">
        <v>52</v>
      </c>
      <c r="AQ164" s="159">
        <v>0</v>
      </c>
      <c r="AR164" s="159">
        <v>0</v>
      </c>
      <c r="AS164" s="151" t="str">
        <f t="shared" ref="AS164:AS177" si="120">IFERROR(AR164/AQ164*100,"")</f>
        <v/>
      </c>
      <c r="AU164" s="26">
        <f t="shared" si="105"/>
        <v>0</v>
      </c>
      <c r="AV164" s="26">
        <f t="shared" si="106"/>
        <v>0</v>
      </c>
      <c r="AW164" s="26" t="e">
        <f t="shared" si="107"/>
        <v>#VALUE!</v>
      </c>
      <c r="AX164" s="1">
        <v>4</v>
      </c>
    </row>
    <row r="165" spans="1:50" s="1" customFormat="1" x14ac:dyDescent="0.25">
      <c r="A165" s="142" t="s">
        <v>35</v>
      </c>
      <c r="B165" s="8">
        <v>0</v>
      </c>
      <c r="C165" s="8">
        <v>1</v>
      </c>
      <c r="D165" s="10">
        <v>1</v>
      </c>
      <c r="E165" s="10">
        <v>1</v>
      </c>
      <c r="F165" s="10"/>
      <c r="G165" s="10">
        <f t="shared" si="108"/>
        <v>16312</v>
      </c>
      <c r="H165" s="19">
        <f t="shared" si="109"/>
        <v>16312</v>
      </c>
      <c r="I165" s="19">
        <v>0</v>
      </c>
      <c r="J165" s="19">
        <v>16300</v>
      </c>
      <c r="K165" s="29">
        <f t="shared" si="110"/>
        <v>7.3565473271211379E-2</v>
      </c>
      <c r="L165" s="19" t="s">
        <v>58</v>
      </c>
      <c r="M165" s="23">
        <v>42265.370567129627</v>
      </c>
      <c r="N165" s="23">
        <v>42524</v>
      </c>
      <c r="O165" s="179">
        <f t="shared" si="111"/>
        <v>100</v>
      </c>
      <c r="P165" s="19">
        <v>100</v>
      </c>
      <c r="Q165" s="19">
        <f t="shared" si="103"/>
        <v>0</v>
      </c>
      <c r="R165" s="19"/>
      <c r="S165" s="19">
        <f t="shared" si="101"/>
        <v>3522</v>
      </c>
      <c r="T165" s="19">
        <f t="shared" si="102"/>
        <v>3522</v>
      </c>
      <c r="U165" s="20">
        <f t="shared" si="112"/>
        <v>100</v>
      </c>
      <c r="V165" s="19">
        <v>12790</v>
      </c>
      <c r="W165" s="19">
        <v>12790</v>
      </c>
      <c r="X165" s="20">
        <f t="shared" si="113"/>
        <v>100</v>
      </c>
      <c r="Y165" s="19">
        <v>62</v>
      </c>
      <c r="Z165" s="20">
        <v>62</v>
      </c>
      <c r="AA165" s="20">
        <f t="shared" si="114"/>
        <v>100</v>
      </c>
      <c r="AB165" s="20">
        <v>3460</v>
      </c>
      <c r="AC165" s="20">
        <v>3460</v>
      </c>
      <c r="AD165" s="20">
        <f t="shared" si="115"/>
        <v>100</v>
      </c>
      <c r="AE165" s="20">
        <f t="shared" si="116"/>
        <v>16250</v>
      </c>
      <c r="AF165" s="20">
        <f t="shared" si="117"/>
        <v>16250</v>
      </c>
      <c r="AG165" s="20">
        <f t="shared" si="118"/>
        <v>100</v>
      </c>
      <c r="AH165" s="59" t="s">
        <v>359</v>
      </c>
      <c r="AI165" s="19" t="s">
        <v>52</v>
      </c>
      <c r="AL165" s="1" t="str">
        <f t="shared" si="104"/>
        <v/>
      </c>
      <c r="AM165" s="26">
        <f t="shared" si="119"/>
        <v>0</v>
      </c>
      <c r="AO165" s="26">
        <v>7.4180412371134024</v>
      </c>
      <c r="AP165" s="181" t="s">
        <v>52</v>
      </c>
      <c r="AQ165" s="159">
        <v>6891</v>
      </c>
      <c r="AR165" s="159">
        <v>6891</v>
      </c>
      <c r="AS165" s="151">
        <f t="shared" si="120"/>
        <v>100</v>
      </c>
      <c r="AU165" s="26">
        <f t="shared" si="105"/>
        <v>-3369</v>
      </c>
      <c r="AV165" s="26">
        <f t="shared" si="106"/>
        <v>-3369</v>
      </c>
      <c r="AW165" s="26">
        <f t="shared" si="107"/>
        <v>0</v>
      </c>
      <c r="AX165" s="1">
        <v>2</v>
      </c>
    </row>
    <row r="166" spans="1:50" s="1" customFormat="1" ht="15.75" customHeight="1" x14ac:dyDescent="0.25">
      <c r="A166" s="141" t="s">
        <v>314</v>
      </c>
      <c r="B166" s="8">
        <v>8139199</v>
      </c>
      <c r="C166" s="8">
        <v>0</v>
      </c>
      <c r="D166" s="10">
        <v>1</v>
      </c>
      <c r="E166" s="10">
        <v>1</v>
      </c>
      <c r="F166" s="10"/>
      <c r="G166" s="10">
        <f t="shared" si="108"/>
        <v>23490</v>
      </c>
      <c r="H166" s="19">
        <f t="shared" si="109"/>
        <v>23490</v>
      </c>
      <c r="I166" s="19">
        <v>0</v>
      </c>
      <c r="J166" s="19">
        <v>22929</v>
      </c>
      <c r="K166" s="29">
        <f t="shared" si="110"/>
        <v>2.3882503192848024</v>
      </c>
      <c r="L166" s="19" t="s">
        <v>58</v>
      </c>
      <c r="M166" s="23">
        <v>42432.619837962964</v>
      </c>
      <c r="N166" s="23" t="s">
        <v>80</v>
      </c>
      <c r="O166" s="179">
        <f t="shared" si="111"/>
        <v>100</v>
      </c>
      <c r="P166" s="19">
        <v>100</v>
      </c>
      <c r="Q166" s="19">
        <f t="shared" si="103"/>
        <v>0</v>
      </c>
      <c r="R166" s="19"/>
      <c r="S166" s="19">
        <f t="shared" si="101"/>
        <v>13138</v>
      </c>
      <c r="T166" s="19">
        <f t="shared" si="102"/>
        <v>13138</v>
      </c>
      <c r="U166" s="20">
        <f t="shared" si="112"/>
        <v>100</v>
      </c>
      <c r="V166" s="19">
        <v>10352</v>
      </c>
      <c r="W166" s="19">
        <v>10352</v>
      </c>
      <c r="X166" s="187">
        <f t="shared" si="113"/>
        <v>100</v>
      </c>
      <c r="Y166" s="19">
        <v>5476</v>
      </c>
      <c r="Z166" s="20">
        <v>5476</v>
      </c>
      <c r="AA166" s="20">
        <f t="shared" si="114"/>
        <v>100</v>
      </c>
      <c r="AB166" s="20">
        <v>7662</v>
      </c>
      <c r="AC166" s="20">
        <v>7662</v>
      </c>
      <c r="AD166" s="20">
        <f t="shared" si="115"/>
        <v>100</v>
      </c>
      <c r="AE166" s="20">
        <f t="shared" si="116"/>
        <v>18014</v>
      </c>
      <c r="AF166" s="20">
        <f t="shared" si="117"/>
        <v>18014</v>
      </c>
      <c r="AG166" s="187">
        <f t="shared" si="118"/>
        <v>100</v>
      </c>
      <c r="AH166" s="59" t="s">
        <v>547</v>
      </c>
      <c r="AI166" s="19" t="s">
        <v>557</v>
      </c>
      <c r="AL166" s="1" t="str">
        <f t="shared" si="104"/>
        <v/>
      </c>
      <c r="AM166" s="26">
        <f t="shared" si="119"/>
        <v>0</v>
      </c>
      <c r="AN166" s="26" t="e">
        <f>IF(AL166&gt;0,AM166/AL166,"")</f>
        <v>#VALUE!</v>
      </c>
      <c r="AO166" s="26">
        <v>10.648221343873518</v>
      </c>
      <c r="AP166" s="181">
        <v>43281</v>
      </c>
      <c r="AQ166" s="159">
        <v>7508</v>
      </c>
      <c r="AR166" s="159">
        <v>7508</v>
      </c>
      <c r="AS166" s="151">
        <f t="shared" si="120"/>
        <v>100</v>
      </c>
      <c r="AU166" s="26">
        <f t="shared" si="105"/>
        <v>5630</v>
      </c>
      <c r="AV166" s="26">
        <f t="shared" si="106"/>
        <v>5630</v>
      </c>
      <c r="AW166" s="26">
        <f t="shared" si="107"/>
        <v>0</v>
      </c>
      <c r="AX166" s="1">
        <v>2</v>
      </c>
    </row>
    <row r="167" spans="1:50" s="1" customFormat="1" ht="14.25" customHeight="1" x14ac:dyDescent="0.25">
      <c r="A167" s="142" t="s">
        <v>30</v>
      </c>
      <c r="B167" s="8">
        <v>0</v>
      </c>
      <c r="C167" s="8">
        <v>1</v>
      </c>
      <c r="D167" s="10">
        <v>1</v>
      </c>
      <c r="E167" s="10">
        <v>1</v>
      </c>
      <c r="F167" s="10"/>
      <c r="G167" s="10">
        <f t="shared" si="108"/>
        <v>7114</v>
      </c>
      <c r="H167" s="19">
        <f t="shared" si="109"/>
        <v>7114</v>
      </c>
      <c r="I167" s="19">
        <v>0</v>
      </c>
      <c r="J167" s="19">
        <v>7127</v>
      </c>
      <c r="K167" s="29">
        <f t="shared" si="110"/>
        <v>-0.18273826258082654</v>
      </c>
      <c r="L167" s="19" t="s">
        <v>58</v>
      </c>
      <c r="M167" s="23"/>
      <c r="N167" s="23"/>
      <c r="O167" s="179">
        <f t="shared" si="111"/>
        <v>100</v>
      </c>
      <c r="P167" s="19">
        <v>100</v>
      </c>
      <c r="Q167" s="19">
        <f t="shared" si="103"/>
        <v>0</v>
      </c>
      <c r="R167" s="19"/>
      <c r="S167" s="19">
        <f t="shared" si="101"/>
        <v>0</v>
      </c>
      <c r="T167" s="19">
        <f t="shared" si="102"/>
        <v>0</v>
      </c>
      <c r="U167" s="20" t="str">
        <f t="shared" si="112"/>
        <v/>
      </c>
      <c r="V167" s="19">
        <v>7114</v>
      </c>
      <c r="W167" s="19">
        <v>7114</v>
      </c>
      <c r="X167" s="20">
        <f t="shared" si="113"/>
        <v>100</v>
      </c>
      <c r="Y167" s="19">
        <v>0</v>
      </c>
      <c r="Z167" s="20">
        <v>0</v>
      </c>
      <c r="AA167" s="20" t="str">
        <f t="shared" si="114"/>
        <v/>
      </c>
      <c r="AB167" s="20">
        <v>0</v>
      </c>
      <c r="AC167" s="20">
        <v>0</v>
      </c>
      <c r="AD167" s="20" t="str">
        <f t="shared" si="115"/>
        <v/>
      </c>
      <c r="AE167" s="20">
        <f t="shared" si="116"/>
        <v>7114</v>
      </c>
      <c r="AF167" s="20">
        <f t="shared" si="117"/>
        <v>7114</v>
      </c>
      <c r="AG167" s="20">
        <f t="shared" si="118"/>
        <v>100</v>
      </c>
      <c r="AH167" s="59" t="s">
        <v>51</v>
      </c>
      <c r="AI167" s="19" t="s">
        <v>551</v>
      </c>
      <c r="AL167" s="1" t="str">
        <f t="shared" si="104"/>
        <v/>
      </c>
      <c r="AM167" s="26">
        <f t="shared" si="119"/>
        <v>0</v>
      </c>
      <c r="AO167" s="26">
        <v>557.625</v>
      </c>
      <c r="AP167" s="181" t="s">
        <v>52</v>
      </c>
      <c r="AQ167" s="159">
        <v>0</v>
      </c>
      <c r="AR167" s="159">
        <v>0</v>
      </c>
      <c r="AS167" s="151" t="str">
        <f t="shared" si="120"/>
        <v/>
      </c>
      <c r="AU167" s="26">
        <f t="shared" si="105"/>
        <v>0</v>
      </c>
      <c r="AV167" s="26">
        <f t="shared" si="106"/>
        <v>0</v>
      </c>
      <c r="AW167" s="26" t="e">
        <f t="shared" si="107"/>
        <v>#VALUE!</v>
      </c>
      <c r="AX167" s="1">
        <v>1</v>
      </c>
    </row>
    <row r="168" spans="1:50" ht="15" customHeight="1" x14ac:dyDescent="0.25">
      <c r="A168" s="141" t="s">
        <v>169</v>
      </c>
      <c r="B168" s="8">
        <v>7192061</v>
      </c>
      <c r="C168" s="8">
        <v>0</v>
      </c>
      <c r="D168" s="10">
        <v>1</v>
      </c>
      <c r="E168" s="10">
        <v>1</v>
      </c>
      <c r="F168" s="10"/>
      <c r="G168" s="10">
        <f t="shared" si="108"/>
        <v>155480</v>
      </c>
      <c r="H168" s="19">
        <f t="shared" si="109"/>
        <v>146868</v>
      </c>
      <c r="I168" s="19">
        <v>9280</v>
      </c>
      <c r="J168" s="19">
        <v>202779</v>
      </c>
      <c r="K168" s="29">
        <f t="shared" si="110"/>
        <v>-38.068878176321597</v>
      </c>
      <c r="L168" s="19" t="s">
        <v>58</v>
      </c>
      <c r="M168" s="23"/>
      <c r="N168" s="23">
        <v>42663</v>
      </c>
      <c r="O168" s="179">
        <f t="shared" si="111"/>
        <v>94.461023925906872</v>
      </c>
      <c r="P168" s="19">
        <v>71</v>
      </c>
      <c r="Q168" s="19">
        <f t="shared" si="103"/>
        <v>23</v>
      </c>
      <c r="R168" s="19"/>
      <c r="S168" s="19">
        <f t="shared" si="101"/>
        <v>89030</v>
      </c>
      <c r="T168" s="19">
        <f t="shared" si="102"/>
        <v>80418</v>
      </c>
      <c r="U168" s="20">
        <f t="shared" si="112"/>
        <v>90.326856115915987</v>
      </c>
      <c r="V168" s="19">
        <v>66450</v>
      </c>
      <c r="W168" s="19">
        <v>66450</v>
      </c>
      <c r="X168" s="187">
        <f t="shared" si="113"/>
        <v>100</v>
      </c>
      <c r="Y168" s="20">
        <v>6250</v>
      </c>
      <c r="Z168" s="20">
        <v>6167</v>
      </c>
      <c r="AA168" s="20">
        <f t="shared" si="114"/>
        <v>98.671999999999997</v>
      </c>
      <c r="AB168" s="20">
        <v>82780</v>
      </c>
      <c r="AC168" s="20">
        <v>74251</v>
      </c>
      <c r="AD168" s="20">
        <f t="shared" si="115"/>
        <v>89.696786663445266</v>
      </c>
      <c r="AE168" s="20">
        <f t="shared" si="116"/>
        <v>149230</v>
      </c>
      <c r="AF168" s="20">
        <f t="shared" si="117"/>
        <v>140701</v>
      </c>
      <c r="AG168" s="187">
        <f t="shared" si="118"/>
        <v>94.284661261140528</v>
      </c>
      <c r="AH168" s="195" t="s">
        <v>577</v>
      </c>
      <c r="AI168" s="196" t="s">
        <v>578</v>
      </c>
      <c r="AJ168" s="1">
        <v>16</v>
      </c>
      <c r="AK168" s="1">
        <v>500</v>
      </c>
      <c r="AL168" s="1">
        <f t="shared" si="104"/>
        <v>8000</v>
      </c>
      <c r="AM168" s="26">
        <f t="shared" si="119"/>
        <v>8612</v>
      </c>
      <c r="AN168" s="26"/>
      <c r="AO168" s="26"/>
      <c r="AP168" s="181">
        <v>43281</v>
      </c>
      <c r="AQ168" s="159">
        <v>89030</v>
      </c>
      <c r="AR168" s="159">
        <v>63240</v>
      </c>
      <c r="AS168" s="151">
        <f t="shared" si="120"/>
        <v>71.032236324834329</v>
      </c>
      <c r="AT168" s="1"/>
      <c r="AU168" s="26">
        <f t="shared" si="105"/>
        <v>0</v>
      </c>
      <c r="AV168" s="26">
        <f t="shared" si="106"/>
        <v>17178</v>
      </c>
      <c r="AW168" s="26">
        <f t="shared" si="107"/>
        <v>19.294619791081658</v>
      </c>
      <c r="AX168" s="1">
        <v>2</v>
      </c>
    </row>
    <row r="169" spans="1:50" ht="15" customHeight="1" x14ac:dyDescent="0.25">
      <c r="A169" s="141" t="s">
        <v>170</v>
      </c>
      <c r="B169" s="8">
        <v>80284</v>
      </c>
      <c r="C169" s="8">
        <v>0</v>
      </c>
      <c r="D169" s="10">
        <v>1</v>
      </c>
      <c r="E169" s="10">
        <v>1</v>
      </c>
      <c r="F169" s="10"/>
      <c r="G169" s="10">
        <f t="shared" si="108"/>
        <v>1009409</v>
      </c>
      <c r="H169" s="19">
        <f t="shared" si="109"/>
        <v>934413</v>
      </c>
      <c r="I169" s="19">
        <v>1888</v>
      </c>
      <c r="J169" s="19">
        <v>768857</v>
      </c>
      <c r="K169" s="29">
        <f t="shared" si="110"/>
        <v>17.717647335814036</v>
      </c>
      <c r="L169" s="19" t="s">
        <v>58</v>
      </c>
      <c r="M169" s="23">
        <v>40493.359467592592</v>
      </c>
      <c r="N169" s="23" t="s">
        <v>77</v>
      </c>
      <c r="O169" s="179">
        <f t="shared" si="111"/>
        <v>92.570305990931331</v>
      </c>
      <c r="P169" s="19">
        <v>96.22</v>
      </c>
      <c r="Q169" s="19">
        <f t="shared" si="103"/>
        <v>-4</v>
      </c>
      <c r="R169" s="19"/>
      <c r="S169" s="19">
        <f t="shared" si="101"/>
        <v>139455</v>
      </c>
      <c r="T169" s="19">
        <f t="shared" si="102"/>
        <v>106827</v>
      </c>
      <c r="U169" s="20">
        <f t="shared" si="112"/>
        <v>76.603205335054312</v>
      </c>
      <c r="V169" s="19">
        <v>869954</v>
      </c>
      <c r="W169" s="19">
        <v>827586</v>
      </c>
      <c r="X169" s="187">
        <f t="shared" si="113"/>
        <v>95.129857440738235</v>
      </c>
      <c r="Y169" s="20">
        <v>12084</v>
      </c>
      <c r="Z169" s="20">
        <v>12084</v>
      </c>
      <c r="AA169" s="20">
        <f t="shared" si="114"/>
        <v>100</v>
      </c>
      <c r="AB169" s="20">
        <v>127371</v>
      </c>
      <c r="AC169" s="20">
        <v>94743</v>
      </c>
      <c r="AD169" s="20">
        <f t="shared" si="115"/>
        <v>74.383493887933668</v>
      </c>
      <c r="AE169" s="20">
        <f t="shared" si="116"/>
        <v>997325</v>
      </c>
      <c r="AF169" s="20">
        <f t="shared" si="117"/>
        <v>922329</v>
      </c>
      <c r="AG169" s="187">
        <f t="shared" si="118"/>
        <v>92.48028476173765</v>
      </c>
      <c r="AH169" s="195" t="s">
        <v>579</v>
      </c>
      <c r="AI169" s="196" t="s">
        <v>580</v>
      </c>
      <c r="AJ169" s="1">
        <v>31</v>
      </c>
      <c r="AK169" s="1">
        <v>35</v>
      </c>
      <c r="AL169" s="1">
        <f t="shared" si="104"/>
        <v>1085</v>
      </c>
      <c r="AM169" s="26">
        <f t="shared" si="119"/>
        <v>74996</v>
      </c>
      <c r="AN169" s="26">
        <f>IF(AL169&gt;0,AM169/AL169,"")</f>
        <v>69.120737327188934</v>
      </c>
      <c r="AO169" s="26">
        <v>86.689790575916234</v>
      </c>
      <c r="AP169" s="181">
        <v>43252</v>
      </c>
      <c r="AQ169" s="159">
        <v>127147</v>
      </c>
      <c r="AR169" s="159">
        <v>72245</v>
      </c>
      <c r="AS169" s="151">
        <f t="shared" si="120"/>
        <v>56.820058672245509</v>
      </c>
      <c r="AT169" s="1"/>
      <c r="AU169" s="26">
        <f t="shared" si="105"/>
        <v>12308</v>
      </c>
      <c r="AV169" s="26">
        <f t="shared" si="106"/>
        <v>34582</v>
      </c>
      <c r="AW169" s="26">
        <f t="shared" si="107"/>
        <v>19.783146662808804</v>
      </c>
      <c r="AX169" s="1">
        <v>2</v>
      </c>
    </row>
    <row r="170" spans="1:50" ht="14.25" customHeight="1" x14ac:dyDescent="0.25">
      <c r="A170" s="176" t="s">
        <v>207</v>
      </c>
      <c r="B170" s="8">
        <v>7183046</v>
      </c>
      <c r="C170" s="8">
        <v>0</v>
      </c>
      <c r="D170" s="10">
        <v>1</v>
      </c>
      <c r="E170" s="10">
        <v>1</v>
      </c>
      <c r="F170" s="10"/>
      <c r="G170" s="10">
        <f t="shared" si="108"/>
        <v>436280</v>
      </c>
      <c r="H170" s="19">
        <f t="shared" si="109"/>
        <v>393604</v>
      </c>
      <c r="I170" s="19">
        <v>132</v>
      </c>
      <c r="J170" s="19">
        <v>269665</v>
      </c>
      <c r="K170" s="29">
        <f t="shared" si="110"/>
        <v>31.488247070659853</v>
      </c>
      <c r="L170" s="19" t="s">
        <v>58</v>
      </c>
      <c r="M170" s="23">
        <v>42775.560497685183</v>
      </c>
      <c r="N170" s="23"/>
      <c r="O170" s="179">
        <f t="shared" si="111"/>
        <v>90.218208489960574</v>
      </c>
      <c r="P170" s="19">
        <v>100</v>
      </c>
      <c r="Q170" s="19">
        <f t="shared" si="103"/>
        <v>-10</v>
      </c>
      <c r="R170" s="19"/>
      <c r="S170" s="19">
        <f t="shared" si="101"/>
        <v>155307</v>
      </c>
      <c r="T170" s="19">
        <f t="shared" si="102"/>
        <v>112631</v>
      </c>
      <c r="U170" s="20">
        <f t="shared" si="112"/>
        <v>72.521521888903919</v>
      </c>
      <c r="V170" s="19">
        <v>280973</v>
      </c>
      <c r="W170" s="19">
        <v>280973</v>
      </c>
      <c r="X170" s="187">
        <f t="shared" si="113"/>
        <v>100</v>
      </c>
      <c r="Y170" s="20">
        <v>30200</v>
      </c>
      <c r="Z170" s="20">
        <v>17946</v>
      </c>
      <c r="AA170" s="20">
        <f t="shared" si="114"/>
        <v>59.423841059602644</v>
      </c>
      <c r="AB170" s="20">
        <v>125107</v>
      </c>
      <c r="AC170" s="20">
        <v>94685</v>
      </c>
      <c r="AD170" s="20">
        <f t="shared" si="115"/>
        <v>75.683215167816357</v>
      </c>
      <c r="AE170" s="20">
        <f t="shared" si="116"/>
        <v>406080</v>
      </c>
      <c r="AF170" s="20">
        <f t="shared" si="117"/>
        <v>375658</v>
      </c>
      <c r="AG170" s="187">
        <f t="shared" si="118"/>
        <v>92.508372734436563</v>
      </c>
      <c r="AH170" s="59" t="s">
        <v>567</v>
      </c>
      <c r="AI170" s="19"/>
      <c r="AJ170" s="1"/>
      <c r="AK170" s="1"/>
      <c r="AL170" s="1" t="str">
        <f t="shared" si="104"/>
        <v/>
      </c>
      <c r="AM170" s="26">
        <f t="shared" si="119"/>
        <v>42676</v>
      </c>
      <c r="AN170" s="26" t="e">
        <f>IF(AL170&gt;0,AM170/AL170,"")</f>
        <v>#VALUE!</v>
      </c>
      <c r="AO170" s="26">
        <v>3.3750089407052428</v>
      </c>
      <c r="AP170" s="181">
        <v>43465</v>
      </c>
      <c r="AQ170" s="159">
        <v>125107</v>
      </c>
      <c r="AR170" s="159">
        <v>33560</v>
      </c>
      <c r="AS170" s="151">
        <f t="shared" si="120"/>
        <v>26.825037767670874</v>
      </c>
      <c r="AT170" s="1"/>
      <c r="AU170" s="26">
        <f t="shared" si="105"/>
        <v>30200</v>
      </c>
      <c r="AV170" s="26">
        <f t="shared" si="106"/>
        <v>79071</v>
      </c>
      <c r="AW170" s="26">
        <f t="shared" si="107"/>
        <v>45.696484121233041</v>
      </c>
      <c r="AX170" s="1">
        <v>4</v>
      </c>
    </row>
    <row r="171" spans="1:50" ht="14.25" customHeight="1" x14ac:dyDescent="0.25">
      <c r="A171" s="141" t="s">
        <v>202</v>
      </c>
      <c r="B171" s="8">
        <v>7175892</v>
      </c>
      <c r="C171" s="8">
        <v>0</v>
      </c>
      <c r="D171" s="10">
        <v>1</v>
      </c>
      <c r="E171" s="10">
        <v>1</v>
      </c>
      <c r="F171" s="10"/>
      <c r="G171" s="10">
        <f t="shared" si="108"/>
        <v>147771</v>
      </c>
      <c r="H171" s="19">
        <f t="shared" si="109"/>
        <v>138230</v>
      </c>
      <c r="I171" s="19">
        <v>41943</v>
      </c>
      <c r="J171" s="19">
        <v>102850</v>
      </c>
      <c r="K171" s="29">
        <f t="shared" si="110"/>
        <v>25.595022788106782</v>
      </c>
      <c r="L171" s="19" t="s">
        <v>58</v>
      </c>
      <c r="M171" s="23">
        <v>42060.015613425923</v>
      </c>
      <c r="N171" s="23"/>
      <c r="O171" s="179">
        <f t="shared" si="111"/>
        <v>93.543388080205176</v>
      </c>
      <c r="P171" s="19">
        <v>92</v>
      </c>
      <c r="Q171" s="19">
        <f t="shared" si="103"/>
        <v>2</v>
      </c>
      <c r="R171" s="19"/>
      <c r="S171" s="19">
        <f t="shared" si="101"/>
        <v>54670</v>
      </c>
      <c r="T171" s="19">
        <f t="shared" si="102"/>
        <v>45129</v>
      </c>
      <c r="U171" s="20">
        <f t="shared" si="112"/>
        <v>82.548015364916765</v>
      </c>
      <c r="V171" s="19">
        <v>93101</v>
      </c>
      <c r="W171" s="22">
        <v>93101</v>
      </c>
      <c r="X171" s="187">
        <f t="shared" si="113"/>
        <v>100</v>
      </c>
      <c r="Y171" s="20">
        <v>1815</v>
      </c>
      <c r="Z171" s="20">
        <v>1815</v>
      </c>
      <c r="AA171" s="20">
        <f t="shared" si="114"/>
        <v>100</v>
      </c>
      <c r="AB171" s="20">
        <v>52855</v>
      </c>
      <c r="AC171" s="20">
        <v>43314</v>
      </c>
      <c r="AD171" s="20">
        <f t="shared" si="115"/>
        <v>81.94872765112099</v>
      </c>
      <c r="AE171" s="20">
        <f t="shared" si="116"/>
        <v>145956</v>
      </c>
      <c r="AF171" s="20">
        <f t="shared" si="117"/>
        <v>136415</v>
      </c>
      <c r="AG171" s="187">
        <f t="shared" si="118"/>
        <v>93.463098468031461</v>
      </c>
      <c r="AH171" s="59" t="s">
        <v>123</v>
      </c>
      <c r="AI171" s="196" t="s">
        <v>581</v>
      </c>
      <c r="AJ171" s="1">
        <v>2</v>
      </c>
      <c r="AK171" s="1">
        <v>50</v>
      </c>
      <c r="AL171" s="1">
        <f t="shared" si="104"/>
        <v>100</v>
      </c>
      <c r="AM171" s="26">
        <f t="shared" si="119"/>
        <v>9541</v>
      </c>
      <c r="AN171" s="26">
        <f>IF(AL171&gt;0,AM171/AL171,"")</f>
        <v>95.41</v>
      </c>
      <c r="AO171" s="26">
        <v>49.966239813736905</v>
      </c>
      <c r="AP171" s="181">
        <v>43465</v>
      </c>
      <c r="AQ171" s="159">
        <v>54670</v>
      </c>
      <c r="AR171" s="159">
        <v>13500</v>
      </c>
      <c r="AS171" s="151">
        <f t="shared" si="120"/>
        <v>24.693616242912018</v>
      </c>
      <c r="AT171" s="1"/>
      <c r="AU171" s="26">
        <f t="shared" si="105"/>
        <v>0</v>
      </c>
      <c r="AV171" s="26">
        <f t="shared" si="106"/>
        <v>31629</v>
      </c>
      <c r="AW171" s="26">
        <f t="shared" si="107"/>
        <v>57.85439912200475</v>
      </c>
      <c r="AX171" s="1">
        <v>1</v>
      </c>
    </row>
    <row r="172" spans="1:50" ht="13.5" customHeight="1" x14ac:dyDescent="0.25">
      <c r="A172" s="142" t="s">
        <v>24</v>
      </c>
      <c r="B172" s="8">
        <v>17620541</v>
      </c>
      <c r="C172" s="8">
        <v>1</v>
      </c>
      <c r="D172" s="10">
        <v>1</v>
      </c>
      <c r="E172" s="10">
        <v>1</v>
      </c>
      <c r="F172" s="10"/>
      <c r="G172" s="10">
        <f t="shared" si="108"/>
        <v>476626</v>
      </c>
      <c r="H172" s="19">
        <f t="shared" si="109"/>
        <v>476626</v>
      </c>
      <c r="I172" s="19">
        <v>517</v>
      </c>
      <c r="J172" s="19">
        <v>49683</v>
      </c>
      <c r="K172" s="29">
        <f t="shared" si="110"/>
        <v>89.576103695560036</v>
      </c>
      <c r="L172" s="19" t="s">
        <v>58</v>
      </c>
      <c r="M172" s="23"/>
      <c r="N172" s="23"/>
      <c r="O172" s="179">
        <f t="shared" si="111"/>
        <v>100</v>
      </c>
      <c r="P172" s="19">
        <v>0.39</v>
      </c>
      <c r="Q172" s="19">
        <f t="shared" si="103"/>
        <v>100</v>
      </c>
      <c r="R172" s="19"/>
      <c r="S172" s="19">
        <f t="shared" si="101"/>
        <v>46174</v>
      </c>
      <c r="T172" s="19">
        <f t="shared" si="102"/>
        <v>46174</v>
      </c>
      <c r="U172" s="20">
        <f t="shared" si="112"/>
        <v>100</v>
      </c>
      <c r="V172" s="19">
        <v>430452</v>
      </c>
      <c r="W172" s="19">
        <v>430452</v>
      </c>
      <c r="X172" s="20">
        <f t="shared" si="113"/>
        <v>100</v>
      </c>
      <c r="Y172" s="20">
        <v>1785</v>
      </c>
      <c r="Z172" s="20">
        <v>1785</v>
      </c>
      <c r="AA172" s="20">
        <f t="shared" si="114"/>
        <v>100</v>
      </c>
      <c r="AB172" s="20">
        <v>44389</v>
      </c>
      <c r="AC172" s="20">
        <v>44389</v>
      </c>
      <c r="AD172" s="20">
        <f t="shared" si="115"/>
        <v>100</v>
      </c>
      <c r="AE172" s="20">
        <f t="shared" si="116"/>
        <v>474841</v>
      </c>
      <c r="AF172" s="20">
        <f t="shared" si="117"/>
        <v>474841</v>
      </c>
      <c r="AG172" s="20">
        <f t="shared" si="118"/>
        <v>100</v>
      </c>
      <c r="AH172" s="59" t="s">
        <v>568</v>
      </c>
      <c r="AI172" s="19" t="s">
        <v>51</v>
      </c>
      <c r="AJ172" s="1">
        <v>11</v>
      </c>
      <c r="AK172" s="1">
        <v>50</v>
      </c>
      <c r="AL172" s="1">
        <f t="shared" si="104"/>
        <v>550</v>
      </c>
      <c r="AM172" s="26">
        <f t="shared" si="119"/>
        <v>0</v>
      </c>
      <c r="AN172" s="26"/>
      <c r="AO172" s="26">
        <v>24102.428571428569</v>
      </c>
      <c r="AP172" s="181">
        <v>43646</v>
      </c>
      <c r="AQ172" s="159">
        <v>39389</v>
      </c>
      <c r="AR172" s="159">
        <v>1444</v>
      </c>
      <c r="AS172" s="151">
        <f t="shared" si="120"/>
        <v>3.665998121302902</v>
      </c>
      <c r="AU172" s="26">
        <f t="shared" si="105"/>
        <v>6785</v>
      </c>
      <c r="AV172" s="26">
        <f t="shared" si="106"/>
        <v>44730</v>
      </c>
      <c r="AW172" s="26">
        <f t="shared" si="107"/>
        <v>96.334001878697094</v>
      </c>
      <c r="AX172" s="1">
        <v>2</v>
      </c>
    </row>
    <row r="173" spans="1:50" ht="15" customHeight="1" x14ac:dyDescent="0.25">
      <c r="A173" s="142" t="s">
        <v>31</v>
      </c>
      <c r="B173" s="8">
        <v>17620541</v>
      </c>
      <c r="C173" s="8">
        <v>1</v>
      </c>
      <c r="D173" s="10">
        <v>1</v>
      </c>
      <c r="E173" s="10">
        <v>1</v>
      </c>
      <c r="F173" s="10"/>
      <c r="G173" s="10">
        <f t="shared" si="108"/>
        <v>56380</v>
      </c>
      <c r="H173" s="19">
        <f t="shared" si="109"/>
        <v>54827</v>
      </c>
      <c r="I173" s="19">
        <v>21</v>
      </c>
      <c r="J173" s="19">
        <v>0</v>
      </c>
      <c r="K173" s="29">
        <f t="shared" si="110"/>
        <v>100</v>
      </c>
      <c r="L173" s="19" t="s">
        <v>58</v>
      </c>
      <c r="M173" s="23"/>
      <c r="N173" s="23"/>
      <c r="O173" s="179">
        <f t="shared" si="111"/>
        <v>97.245477119545939</v>
      </c>
      <c r="P173" s="19">
        <v>0.52</v>
      </c>
      <c r="Q173" s="19">
        <f t="shared" si="103"/>
        <v>97</v>
      </c>
      <c r="R173" s="19"/>
      <c r="S173" s="19">
        <f t="shared" si="101"/>
        <v>4231</v>
      </c>
      <c r="T173" s="19">
        <f t="shared" si="102"/>
        <v>3765</v>
      </c>
      <c r="U173" s="20">
        <f t="shared" si="112"/>
        <v>88.986055306074221</v>
      </c>
      <c r="V173" s="19">
        <v>52149</v>
      </c>
      <c r="W173" s="19">
        <v>51062</v>
      </c>
      <c r="X173" s="20">
        <f t="shared" si="113"/>
        <v>97.915588026616035</v>
      </c>
      <c r="Y173" s="20">
        <v>0</v>
      </c>
      <c r="Z173" s="20">
        <v>0</v>
      </c>
      <c r="AA173" s="20" t="str">
        <f t="shared" si="114"/>
        <v/>
      </c>
      <c r="AB173" s="20">
        <v>4231</v>
      </c>
      <c r="AC173" s="20">
        <v>3765</v>
      </c>
      <c r="AD173" s="20">
        <f t="shared" si="115"/>
        <v>88.986055306074221</v>
      </c>
      <c r="AE173" s="20">
        <f t="shared" si="116"/>
        <v>56380</v>
      </c>
      <c r="AF173" s="20">
        <f t="shared" si="117"/>
        <v>54827</v>
      </c>
      <c r="AG173" s="20">
        <f t="shared" si="118"/>
        <v>97.245477119545939</v>
      </c>
      <c r="AH173" s="59" t="s">
        <v>51</v>
      </c>
      <c r="AI173" s="196" t="s">
        <v>582</v>
      </c>
      <c r="AJ173" s="1">
        <v>11</v>
      </c>
      <c r="AK173" s="1">
        <v>50</v>
      </c>
      <c r="AL173" s="1">
        <f t="shared" si="104"/>
        <v>550</v>
      </c>
      <c r="AM173" s="26">
        <f t="shared" si="119"/>
        <v>1553</v>
      </c>
      <c r="AN173" s="26">
        <f>IF(AL173&gt;0,AM173/AL173,"")</f>
        <v>2.8236363636363637</v>
      </c>
      <c r="AO173" s="26">
        <v>6741.8571428571431</v>
      </c>
      <c r="AP173" s="181">
        <v>43646</v>
      </c>
      <c r="AQ173" s="159">
        <v>1420</v>
      </c>
      <c r="AR173" s="159">
        <v>45</v>
      </c>
      <c r="AS173" s="151">
        <f t="shared" si="120"/>
        <v>3.169014084507042</v>
      </c>
      <c r="AU173" s="26">
        <f t="shared" si="105"/>
        <v>2811</v>
      </c>
      <c r="AV173" s="26">
        <f t="shared" si="106"/>
        <v>3720</v>
      </c>
      <c r="AW173" s="26">
        <f t="shared" si="107"/>
        <v>85.81704122156718</v>
      </c>
      <c r="AX173" s="1">
        <v>2</v>
      </c>
    </row>
    <row r="174" spans="1:50" ht="14.25" customHeight="1" x14ac:dyDescent="0.25">
      <c r="A174" s="142" t="s">
        <v>32</v>
      </c>
      <c r="B174" s="8">
        <v>17620541</v>
      </c>
      <c r="C174" s="8">
        <v>1</v>
      </c>
      <c r="D174" s="10">
        <v>1</v>
      </c>
      <c r="E174" s="10">
        <v>1</v>
      </c>
      <c r="F174" s="10"/>
      <c r="G174" s="10">
        <f t="shared" si="108"/>
        <v>43240</v>
      </c>
      <c r="H174" s="19">
        <f t="shared" si="109"/>
        <v>13312</v>
      </c>
      <c r="I174" s="19">
        <v>18</v>
      </c>
      <c r="J174" s="19">
        <v>3520</v>
      </c>
      <c r="K174" s="29">
        <f t="shared" si="110"/>
        <v>73.557692307692307</v>
      </c>
      <c r="L174" s="19" t="s">
        <v>58</v>
      </c>
      <c r="M174" s="23"/>
      <c r="N174" s="23"/>
      <c r="O174" s="179">
        <f t="shared" si="111"/>
        <v>30.786308973172989</v>
      </c>
      <c r="P174" s="19">
        <v>0.52</v>
      </c>
      <c r="Q174" s="19">
        <f t="shared" si="103"/>
        <v>30</v>
      </c>
      <c r="R174" s="19"/>
      <c r="S174" s="19">
        <f t="shared" si="101"/>
        <v>3843</v>
      </c>
      <c r="T174" s="19">
        <f t="shared" si="102"/>
        <v>2137</v>
      </c>
      <c r="U174" s="20">
        <f t="shared" si="112"/>
        <v>55.607598230549051</v>
      </c>
      <c r="V174" s="19">
        <v>39397</v>
      </c>
      <c r="W174" s="19">
        <v>11175</v>
      </c>
      <c r="X174" s="20">
        <f t="shared" si="113"/>
        <v>28.365103941924513</v>
      </c>
      <c r="Y174" s="20">
        <v>0</v>
      </c>
      <c r="Z174" s="20">
        <v>0</v>
      </c>
      <c r="AA174" s="20" t="str">
        <f t="shared" si="114"/>
        <v/>
      </c>
      <c r="AB174" s="20">
        <v>3843</v>
      </c>
      <c r="AC174" s="20">
        <v>2137</v>
      </c>
      <c r="AD174" s="20">
        <f t="shared" si="115"/>
        <v>55.607598230549051</v>
      </c>
      <c r="AE174" s="20">
        <f t="shared" si="116"/>
        <v>43240</v>
      </c>
      <c r="AF174" s="20">
        <f t="shared" si="117"/>
        <v>13312</v>
      </c>
      <c r="AG174" s="20">
        <f t="shared" si="118"/>
        <v>30.786308973172989</v>
      </c>
      <c r="AH174" s="59" t="s">
        <v>51</v>
      </c>
      <c r="AI174" s="19" t="s">
        <v>51</v>
      </c>
      <c r="AJ174" s="1">
        <v>11</v>
      </c>
      <c r="AK174" s="1">
        <v>50</v>
      </c>
      <c r="AL174" s="1">
        <f t="shared" si="104"/>
        <v>550</v>
      </c>
      <c r="AM174" s="26">
        <f t="shared" si="119"/>
        <v>29928</v>
      </c>
      <c r="AN174" s="26">
        <f>IF(AL174&gt;0,AM174/AL174,"")</f>
        <v>54.414545454545454</v>
      </c>
      <c r="AO174" s="26">
        <v>7120</v>
      </c>
      <c r="AP174" s="181">
        <v>43646</v>
      </c>
      <c r="AQ174" s="159">
        <v>3843</v>
      </c>
      <c r="AR174" s="159">
        <v>73</v>
      </c>
      <c r="AS174" s="151">
        <f t="shared" si="120"/>
        <v>1.8995576372625551</v>
      </c>
      <c r="AU174" s="26">
        <f t="shared" si="105"/>
        <v>0</v>
      </c>
      <c r="AV174" s="26">
        <f t="shared" si="106"/>
        <v>2064</v>
      </c>
      <c r="AW174" s="26">
        <f t="shared" si="107"/>
        <v>53.708040593286498</v>
      </c>
      <c r="AX174" s="1">
        <v>2</v>
      </c>
    </row>
    <row r="175" spans="1:50" ht="13.5" customHeight="1" x14ac:dyDescent="0.25">
      <c r="A175" s="142" t="s">
        <v>23</v>
      </c>
      <c r="B175" s="8">
        <v>17620541</v>
      </c>
      <c r="C175" s="8">
        <v>1</v>
      </c>
      <c r="D175" s="10">
        <v>1</v>
      </c>
      <c r="E175" s="10">
        <v>1</v>
      </c>
      <c r="F175" s="10"/>
      <c r="G175" s="10">
        <f t="shared" si="108"/>
        <v>198947</v>
      </c>
      <c r="H175" s="19">
        <f t="shared" si="109"/>
        <v>25666</v>
      </c>
      <c r="I175" s="19">
        <v>598</v>
      </c>
      <c r="J175" s="19">
        <v>6436</v>
      </c>
      <c r="K175" s="29">
        <f t="shared" si="110"/>
        <v>74.92402400062339</v>
      </c>
      <c r="L175" s="19" t="s">
        <v>58</v>
      </c>
      <c r="M175" s="23"/>
      <c r="N175" s="23"/>
      <c r="O175" s="179">
        <f t="shared" si="111"/>
        <v>12.900923361498288</v>
      </c>
      <c r="P175" s="19">
        <v>1.35</v>
      </c>
      <c r="Q175" s="19">
        <f t="shared" si="103"/>
        <v>12</v>
      </c>
      <c r="R175" s="19"/>
      <c r="S175" s="19">
        <f t="shared" si="101"/>
        <v>12376</v>
      </c>
      <c r="T175" s="19">
        <f t="shared" si="102"/>
        <v>4969</v>
      </c>
      <c r="U175" s="20">
        <f t="shared" si="112"/>
        <v>40.150290885585008</v>
      </c>
      <c r="V175" s="19">
        <v>186571</v>
      </c>
      <c r="W175" s="19">
        <v>20697</v>
      </c>
      <c r="X175" s="20">
        <f t="shared" si="113"/>
        <v>11.093363920437795</v>
      </c>
      <c r="Y175" s="20">
        <v>0</v>
      </c>
      <c r="Z175" s="20">
        <v>0</v>
      </c>
      <c r="AA175" s="20" t="str">
        <f t="shared" si="114"/>
        <v/>
      </c>
      <c r="AB175" s="20">
        <v>12376</v>
      </c>
      <c r="AC175" s="20">
        <v>4969</v>
      </c>
      <c r="AD175" s="20">
        <f t="shared" si="115"/>
        <v>40.150290885585008</v>
      </c>
      <c r="AE175" s="20">
        <f t="shared" si="116"/>
        <v>198947</v>
      </c>
      <c r="AF175" s="20">
        <f t="shared" si="117"/>
        <v>25666</v>
      </c>
      <c r="AG175" s="20">
        <f t="shared" si="118"/>
        <v>12.900923361498288</v>
      </c>
      <c r="AH175" s="59" t="s">
        <v>51</v>
      </c>
      <c r="AI175" s="19" t="s">
        <v>51</v>
      </c>
      <c r="AJ175" s="1">
        <v>11</v>
      </c>
      <c r="AK175" s="1">
        <v>50</v>
      </c>
      <c r="AL175" s="1">
        <f t="shared" si="104"/>
        <v>550</v>
      </c>
      <c r="AM175" s="26">
        <f t="shared" si="119"/>
        <v>173281</v>
      </c>
      <c r="AN175" s="26">
        <f>IF(AL175&gt;0,AM175/AL175,"")</f>
        <v>315.05636363636364</v>
      </c>
      <c r="AO175" s="26"/>
      <c r="AP175" s="181">
        <v>43646</v>
      </c>
      <c r="AQ175" s="159">
        <v>12376</v>
      </c>
      <c r="AR175" s="159">
        <v>715</v>
      </c>
      <c r="AS175" s="151">
        <f t="shared" si="120"/>
        <v>5.7773109243697478</v>
      </c>
      <c r="AU175" s="26">
        <f t="shared" si="105"/>
        <v>0</v>
      </c>
      <c r="AV175" s="26">
        <f t="shared" si="106"/>
        <v>4254</v>
      </c>
      <c r="AW175" s="26">
        <f t="shared" si="107"/>
        <v>34.372979961215258</v>
      </c>
      <c r="AX175" s="1">
        <v>2</v>
      </c>
    </row>
    <row r="176" spans="1:50" ht="17.25" customHeight="1" x14ac:dyDescent="0.25">
      <c r="A176" s="142" t="s">
        <v>93</v>
      </c>
      <c r="B176" s="8">
        <v>17620541</v>
      </c>
      <c r="C176" s="8">
        <v>1</v>
      </c>
      <c r="D176" s="10">
        <v>1</v>
      </c>
      <c r="E176" s="10">
        <v>1</v>
      </c>
      <c r="F176" s="10"/>
      <c r="G176" s="10">
        <f t="shared" si="108"/>
        <v>148482</v>
      </c>
      <c r="H176" s="19">
        <f t="shared" si="109"/>
        <v>27719</v>
      </c>
      <c r="I176" s="19">
        <v>0</v>
      </c>
      <c r="J176" s="19">
        <v>8768</v>
      </c>
      <c r="K176" s="29">
        <f t="shared" si="110"/>
        <v>68.368267253508421</v>
      </c>
      <c r="L176" s="19" t="s">
        <v>58</v>
      </c>
      <c r="M176" s="23"/>
      <c r="N176" s="23"/>
      <c r="O176" s="180">
        <f t="shared" si="111"/>
        <v>18.668256084912649</v>
      </c>
      <c r="P176" s="19">
        <v>0.45</v>
      </c>
      <c r="Q176" s="19">
        <f t="shared" si="103"/>
        <v>18</v>
      </c>
      <c r="R176" s="19"/>
      <c r="S176" s="19">
        <f t="shared" si="101"/>
        <v>26344</v>
      </c>
      <c r="T176" s="19">
        <f t="shared" si="102"/>
        <v>7701</v>
      </c>
      <c r="U176" s="20">
        <f t="shared" si="112"/>
        <v>29.23246279987853</v>
      </c>
      <c r="V176" s="19">
        <v>122138</v>
      </c>
      <c r="W176" s="19">
        <v>20018</v>
      </c>
      <c r="X176" s="59">
        <f t="shared" si="113"/>
        <v>16.389657600419199</v>
      </c>
      <c r="Y176" s="20">
        <v>0</v>
      </c>
      <c r="Z176" s="20">
        <v>0</v>
      </c>
      <c r="AA176" s="20" t="str">
        <f t="shared" si="114"/>
        <v/>
      </c>
      <c r="AB176" s="20">
        <v>26344</v>
      </c>
      <c r="AC176" s="20">
        <v>7701</v>
      </c>
      <c r="AD176" s="20">
        <f t="shared" si="115"/>
        <v>29.23246279987853</v>
      </c>
      <c r="AE176" s="20">
        <f t="shared" si="116"/>
        <v>148482</v>
      </c>
      <c r="AF176" s="20">
        <f t="shared" si="117"/>
        <v>27719</v>
      </c>
      <c r="AG176" s="59">
        <f t="shared" si="118"/>
        <v>18.668256084912649</v>
      </c>
      <c r="AH176" s="59" t="s">
        <v>51</v>
      </c>
      <c r="AI176" s="19" t="s">
        <v>51</v>
      </c>
      <c r="AJ176" s="1">
        <v>11</v>
      </c>
      <c r="AK176" s="1">
        <v>50</v>
      </c>
      <c r="AL176" s="1">
        <f t="shared" si="104"/>
        <v>550</v>
      </c>
      <c r="AM176" s="26">
        <f t="shared" si="119"/>
        <v>120763</v>
      </c>
      <c r="AO176" s="26">
        <v>8284.9411764705874</v>
      </c>
      <c r="AP176" s="181">
        <v>43646</v>
      </c>
      <c r="AQ176" s="159">
        <v>26344</v>
      </c>
      <c r="AR176" s="159">
        <v>792</v>
      </c>
      <c r="AS176" s="151">
        <f t="shared" si="120"/>
        <v>3.0063771636805345</v>
      </c>
      <c r="AU176" s="26">
        <f t="shared" si="105"/>
        <v>0</v>
      </c>
      <c r="AV176" s="26">
        <f t="shared" si="106"/>
        <v>6909</v>
      </c>
      <c r="AW176" s="26">
        <f t="shared" si="107"/>
        <v>26.226085636197993</v>
      </c>
      <c r="AX176" s="1">
        <v>2</v>
      </c>
    </row>
    <row r="177" spans="1:50" ht="16.5" customHeight="1" x14ac:dyDescent="0.25">
      <c r="A177" s="142" t="s">
        <v>25</v>
      </c>
      <c r="B177" s="8">
        <v>17620541</v>
      </c>
      <c r="C177" s="8">
        <v>1</v>
      </c>
      <c r="D177" s="10">
        <v>1</v>
      </c>
      <c r="E177" s="10">
        <v>1</v>
      </c>
      <c r="F177" s="10"/>
      <c r="G177" s="10">
        <f t="shared" si="108"/>
        <v>100550</v>
      </c>
      <c r="H177" s="19">
        <f t="shared" si="109"/>
        <v>5401</v>
      </c>
      <c r="I177" s="19">
        <v>62</v>
      </c>
      <c r="J177" s="19">
        <v>758</v>
      </c>
      <c r="K177" s="29">
        <f t="shared" si="110"/>
        <v>85.965561932975376</v>
      </c>
      <c r="L177" s="19" t="s">
        <v>58</v>
      </c>
      <c r="M177" s="23"/>
      <c r="N177" s="23"/>
      <c r="O177" s="180">
        <f t="shared" si="111"/>
        <v>5.3714569865738442</v>
      </c>
      <c r="P177" s="19">
        <v>0.36</v>
      </c>
      <c r="Q177" s="19">
        <f t="shared" si="103"/>
        <v>5</v>
      </c>
      <c r="R177" s="19"/>
      <c r="S177" s="19">
        <f t="shared" si="101"/>
        <v>5108</v>
      </c>
      <c r="T177" s="19">
        <f t="shared" si="102"/>
        <v>1326</v>
      </c>
      <c r="U177" s="20">
        <f t="shared" si="112"/>
        <v>25.959279561472197</v>
      </c>
      <c r="V177" s="19">
        <v>95442</v>
      </c>
      <c r="W177" s="19">
        <v>4075</v>
      </c>
      <c r="X177" s="59">
        <f t="shared" si="113"/>
        <v>4.2696087676285073</v>
      </c>
      <c r="Y177" s="20">
        <v>0</v>
      </c>
      <c r="Z177" s="20">
        <v>0</v>
      </c>
      <c r="AA177" s="20" t="str">
        <f t="shared" si="114"/>
        <v/>
      </c>
      <c r="AB177" s="20">
        <v>5108</v>
      </c>
      <c r="AC177" s="20">
        <v>1326</v>
      </c>
      <c r="AD177" s="20">
        <f t="shared" si="115"/>
        <v>25.959279561472197</v>
      </c>
      <c r="AE177" s="20">
        <f t="shared" si="116"/>
        <v>100550</v>
      </c>
      <c r="AF177" s="20">
        <f t="shared" si="117"/>
        <v>5401</v>
      </c>
      <c r="AG177" s="59">
        <f t="shared" si="118"/>
        <v>5.3714569865738433</v>
      </c>
      <c r="AH177" s="59" t="s">
        <v>51</v>
      </c>
      <c r="AI177" s="19" t="s">
        <v>51</v>
      </c>
      <c r="AJ177" s="1">
        <v>11</v>
      </c>
      <c r="AK177" s="1">
        <v>50</v>
      </c>
      <c r="AL177" s="1">
        <f t="shared" si="104"/>
        <v>550</v>
      </c>
      <c r="AM177" s="26">
        <f t="shared" si="119"/>
        <v>95149</v>
      </c>
      <c r="AN177" s="26">
        <f>IF(AL177&gt;0,AM177/AL177,"")</f>
        <v>172.99818181818182</v>
      </c>
      <c r="AO177" s="26">
        <v>4814.1290322580644</v>
      </c>
      <c r="AP177" s="181">
        <v>43646</v>
      </c>
      <c r="AQ177" s="159">
        <v>5108</v>
      </c>
      <c r="AR177" s="159">
        <v>107</v>
      </c>
      <c r="AS177" s="151">
        <f t="shared" si="120"/>
        <v>2.0947533281127644</v>
      </c>
      <c r="AU177" s="26">
        <f t="shared" si="105"/>
        <v>0</v>
      </c>
      <c r="AV177" s="26">
        <f t="shared" si="106"/>
        <v>1219</v>
      </c>
      <c r="AW177" s="26">
        <f t="shared" si="107"/>
        <v>23.864526233359435</v>
      </c>
      <c r="AX177" s="1">
        <v>2</v>
      </c>
    </row>
    <row r="178" spans="1:50" x14ac:dyDescent="0.25">
      <c r="V178" s="19"/>
      <c r="W178" s="19">
        <v>0</v>
      </c>
      <c r="Y178">
        <v>0</v>
      </c>
      <c r="Z178">
        <v>0</v>
      </c>
      <c r="AB178">
        <v>0</v>
      </c>
      <c r="AC178">
        <v>0</v>
      </c>
      <c r="AH178">
        <v>0</v>
      </c>
      <c r="AI178" t="s">
        <v>51</v>
      </c>
    </row>
    <row r="179" spans="1:50" x14ac:dyDescent="0.25">
      <c r="A179" s="173" t="s">
        <v>441</v>
      </c>
      <c r="V179" s="60"/>
      <c r="W179" s="60"/>
    </row>
    <row r="180" spans="1:50" x14ac:dyDescent="0.25">
      <c r="A180" s="172" t="s">
        <v>560</v>
      </c>
      <c r="V180" s="19"/>
      <c r="W180" s="61"/>
    </row>
    <row r="182" spans="1:50" x14ac:dyDescent="0.25">
      <c r="V182" s="22"/>
      <c r="W182" s="19"/>
    </row>
  </sheetData>
  <autoFilter ref="A1:BF177"/>
  <sortState ref="A4:BD177">
    <sortCondition descending="1" ref="AG4:AG177"/>
    <sortCondition descending="1" ref="V4:V177"/>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9"/>
  <sheetViews>
    <sheetView topLeftCell="A25" zoomScaleNormal="100" workbookViewId="0">
      <selection activeCell="D11" sqref="D11"/>
    </sheetView>
  </sheetViews>
  <sheetFormatPr defaultRowHeight="15" x14ac:dyDescent="0.25"/>
  <cols>
    <col min="1" max="1" width="21.140625" customWidth="1"/>
    <col min="2" max="2" width="30.7109375" bestFit="1" customWidth="1"/>
    <col min="3" max="8" width="14.140625" customWidth="1"/>
    <col min="9" max="9" width="18" customWidth="1"/>
    <col min="10" max="10" width="19.42578125" customWidth="1"/>
    <col min="12" max="12" width="14" customWidth="1"/>
    <col min="13" max="13" width="16.28515625" customWidth="1"/>
  </cols>
  <sheetData>
    <row r="2" spans="2:8" x14ac:dyDescent="0.25">
      <c r="B2" s="49"/>
      <c r="C2" s="50" t="s">
        <v>37</v>
      </c>
      <c r="D2" s="50"/>
      <c r="E2" s="50" t="s">
        <v>212</v>
      </c>
      <c r="F2" s="50"/>
      <c r="G2" s="50" t="s">
        <v>211</v>
      </c>
      <c r="H2" s="51"/>
    </row>
    <row r="3" spans="2:8" x14ac:dyDescent="0.25">
      <c r="B3" s="46"/>
      <c r="C3" s="47" t="s">
        <v>223</v>
      </c>
      <c r="D3" s="47" t="s">
        <v>224</v>
      </c>
      <c r="E3" s="47" t="s">
        <v>223</v>
      </c>
      <c r="F3" s="47" t="s">
        <v>224</v>
      </c>
      <c r="G3" s="47" t="s">
        <v>223</v>
      </c>
      <c r="H3" s="48" t="s">
        <v>224</v>
      </c>
    </row>
    <row r="4" spans="2:8" s="5" customFormat="1" x14ac:dyDescent="0.25">
      <c r="B4" s="43"/>
      <c r="C4" s="44" t="s">
        <v>230</v>
      </c>
      <c r="D4" s="44"/>
      <c r="E4" s="44"/>
      <c r="F4" s="44"/>
      <c r="G4" s="44"/>
      <c r="H4" s="45"/>
    </row>
    <row r="5" spans="2:8" x14ac:dyDescent="0.25">
      <c r="B5" s="31" t="s">
        <v>225</v>
      </c>
      <c r="C5" s="32">
        <v>33873907</v>
      </c>
      <c r="D5" s="33">
        <v>100</v>
      </c>
      <c r="E5" s="32">
        <v>23156555</v>
      </c>
      <c r="F5" s="33">
        <v>100</v>
      </c>
      <c r="G5" s="32">
        <v>10718889</v>
      </c>
      <c r="H5" s="34">
        <v>100</v>
      </c>
    </row>
    <row r="6" spans="2:8" x14ac:dyDescent="0.25">
      <c r="B6" s="31" t="s">
        <v>226</v>
      </c>
      <c r="C6" s="32">
        <v>28818398</v>
      </c>
      <c r="D6" s="33">
        <v>85.075506642915443</v>
      </c>
      <c r="E6" s="32">
        <v>20539630</v>
      </c>
      <c r="F6" s="33">
        <v>88.698988256241051</v>
      </c>
      <c r="G6" s="32">
        <v>8278768</v>
      </c>
      <c r="H6" s="34">
        <v>77.235317951328724</v>
      </c>
    </row>
    <row r="7" spans="2:8" x14ac:dyDescent="0.25">
      <c r="B7" s="35" t="s">
        <v>227</v>
      </c>
      <c r="C7" s="32">
        <v>24556000</v>
      </c>
      <c r="D7" s="33">
        <v>72.492375916365361</v>
      </c>
      <c r="E7" s="36"/>
      <c r="F7" s="36"/>
      <c r="G7" s="36"/>
      <c r="H7" s="34"/>
    </row>
    <row r="8" spans="2:8" ht="4.5" customHeight="1" x14ac:dyDescent="0.25">
      <c r="B8" s="31"/>
      <c r="C8" s="36"/>
      <c r="D8" s="36"/>
      <c r="E8" s="36"/>
      <c r="F8" s="36"/>
      <c r="G8" s="36"/>
      <c r="H8" s="37"/>
    </row>
    <row r="9" spans="2:8" x14ac:dyDescent="0.25">
      <c r="B9" s="43"/>
      <c r="C9" s="44" t="s">
        <v>231</v>
      </c>
      <c r="D9" s="44"/>
      <c r="E9" s="44"/>
      <c r="F9" s="44"/>
      <c r="G9" s="44"/>
      <c r="H9" s="45"/>
    </row>
    <row r="10" spans="2:8" x14ac:dyDescent="0.25">
      <c r="B10" s="31" t="s">
        <v>225</v>
      </c>
      <c r="C10" s="32">
        <v>29529508</v>
      </c>
      <c r="D10" s="33">
        <v>100</v>
      </c>
      <c r="E10" s="32">
        <v>19375814</v>
      </c>
      <c r="F10" s="33">
        <v>100</v>
      </c>
      <c r="G10" s="32">
        <v>10153694</v>
      </c>
      <c r="H10" s="34">
        <v>100</v>
      </c>
    </row>
    <row r="11" spans="2:8" x14ac:dyDescent="0.25">
      <c r="B11" s="31" t="s">
        <v>226</v>
      </c>
      <c r="C11" s="32">
        <v>26405707</v>
      </c>
      <c r="D11" s="52">
        <v>89.421425511051524</v>
      </c>
      <c r="E11" s="32">
        <v>18592914</v>
      </c>
      <c r="F11" s="52">
        <v>95.959395563974752</v>
      </c>
      <c r="G11" s="32">
        <v>7812793</v>
      </c>
      <c r="H11" s="34">
        <v>76.94532649890769</v>
      </c>
    </row>
    <row r="12" spans="2:8" x14ac:dyDescent="0.25">
      <c r="B12" s="38" t="s">
        <v>227</v>
      </c>
      <c r="C12" s="39">
        <v>22636946</v>
      </c>
      <c r="D12" s="40">
        <v>76.658730650033178</v>
      </c>
      <c r="E12" s="41"/>
      <c r="F12" s="41"/>
      <c r="G12" s="41"/>
      <c r="H12" s="42"/>
    </row>
    <row r="14" spans="2:8" x14ac:dyDescent="0.25">
      <c r="B14" s="49"/>
      <c r="C14" s="50" t="s">
        <v>37</v>
      </c>
      <c r="D14" s="50"/>
      <c r="E14" s="50" t="s">
        <v>212</v>
      </c>
      <c r="F14" s="50"/>
      <c r="G14" s="50" t="s">
        <v>211</v>
      </c>
      <c r="H14" s="51"/>
    </row>
    <row r="15" spans="2:8" x14ac:dyDescent="0.25">
      <c r="B15" s="46"/>
      <c r="C15" s="47" t="s">
        <v>213</v>
      </c>
      <c r="D15" s="47" t="s">
        <v>229</v>
      </c>
      <c r="E15" s="47" t="s">
        <v>213</v>
      </c>
      <c r="F15" s="47" t="s">
        <v>229</v>
      </c>
      <c r="G15" s="47" t="s">
        <v>213</v>
      </c>
      <c r="H15" s="48" t="s">
        <v>229</v>
      </c>
    </row>
    <row r="16" spans="2:8" x14ac:dyDescent="0.25">
      <c r="B16" s="31" t="s">
        <v>215</v>
      </c>
      <c r="C16" s="36">
        <v>175</v>
      </c>
      <c r="D16" s="33">
        <v>100</v>
      </c>
      <c r="E16" s="36">
        <v>175</v>
      </c>
      <c r="F16" s="33">
        <v>100</v>
      </c>
      <c r="G16" s="36">
        <v>175</v>
      </c>
      <c r="H16" s="34">
        <v>100</v>
      </c>
    </row>
    <row r="17" spans="2:13" x14ac:dyDescent="0.25">
      <c r="B17" s="31" t="s">
        <v>217</v>
      </c>
      <c r="C17" s="32">
        <v>174</v>
      </c>
      <c r="D17" s="33">
        <v>99.428571428571431</v>
      </c>
      <c r="E17" s="32">
        <v>174</v>
      </c>
      <c r="F17" s="33">
        <v>99.428571428571431</v>
      </c>
      <c r="G17" s="32">
        <v>174</v>
      </c>
      <c r="H17" s="34">
        <v>99.428571428571431</v>
      </c>
    </row>
    <row r="18" spans="2:13" x14ac:dyDescent="0.25">
      <c r="B18" s="31" t="s">
        <v>216</v>
      </c>
      <c r="C18" s="36">
        <v>68</v>
      </c>
      <c r="D18" s="33">
        <v>38.857142857142854</v>
      </c>
      <c r="E18" s="36">
        <v>98</v>
      </c>
      <c r="F18" s="33">
        <v>56.000000000000007</v>
      </c>
      <c r="G18" s="36">
        <v>74</v>
      </c>
      <c r="H18" s="34">
        <v>42.285714285714285</v>
      </c>
    </row>
    <row r="19" spans="2:13" x14ac:dyDescent="0.25">
      <c r="B19" s="31" t="s">
        <v>218</v>
      </c>
      <c r="C19" s="32">
        <v>36</v>
      </c>
      <c r="D19" s="33">
        <v>20.571428571428569</v>
      </c>
      <c r="E19" s="32">
        <v>40</v>
      </c>
      <c r="F19" s="33">
        <v>22.857142857142858</v>
      </c>
      <c r="G19" s="32">
        <v>15</v>
      </c>
      <c r="H19" s="34">
        <v>8.5714285714285712</v>
      </c>
    </row>
    <row r="20" spans="2:13" x14ac:dyDescent="0.25">
      <c r="B20" s="31" t="s">
        <v>219</v>
      </c>
      <c r="C20" s="32">
        <v>15</v>
      </c>
      <c r="D20" s="33">
        <v>8.5714285714285712</v>
      </c>
      <c r="E20" s="32">
        <v>9</v>
      </c>
      <c r="F20" s="33">
        <v>5.1428571428571423</v>
      </c>
      <c r="G20" s="32">
        <v>15</v>
      </c>
      <c r="H20" s="34">
        <v>8.5714285714285712</v>
      </c>
    </row>
    <row r="21" spans="2:13" x14ac:dyDescent="0.25">
      <c r="B21" s="31" t="s">
        <v>220</v>
      </c>
      <c r="C21" s="32">
        <v>20</v>
      </c>
      <c r="D21" s="33">
        <v>11.428571428571429</v>
      </c>
      <c r="E21" s="32">
        <v>6</v>
      </c>
      <c r="F21" s="33">
        <v>3.4285714285714288</v>
      </c>
      <c r="G21" s="32">
        <v>7</v>
      </c>
      <c r="H21" s="34">
        <v>4</v>
      </c>
    </row>
    <row r="22" spans="2:13" x14ac:dyDescent="0.25">
      <c r="B22" s="31" t="s">
        <v>221</v>
      </c>
      <c r="C22" s="32">
        <v>16</v>
      </c>
      <c r="D22" s="33">
        <v>9.1428571428571423</v>
      </c>
      <c r="E22" s="32">
        <v>8</v>
      </c>
      <c r="F22" s="33">
        <v>4.5714285714285712</v>
      </c>
      <c r="G22" s="32">
        <v>13</v>
      </c>
      <c r="H22" s="34">
        <v>7.4285714285714288</v>
      </c>
    </row>
    <row r="23" spans="2:13" x14ac:dyDescent="0.25">
      <c r="B23" s="53" t="s">
        <v>222</v>
      </c>
      <c r="C23" s="41">
        <v>19</v>
      </c>
      <c r="D23" s="40">
        <v>10.857142857142858</v>
      </c>
      <c r="E23" s="41">
        <v>13</v>
      </c>
      <c r="F23" s="40">
        <v>7.4285714285714288</v>
      </c>
      <c r="G23" s="41">
        <v>45</v>
      </c>
      <c r="H23" s="42">
        <v>25.714285714285712</v>
      </c>
    </row>
    <row r="25" spans="2:13" x14ac:dyDescent="0.25">
      <c r="B25" s="54" t="s">
        <v>228</v>
      </c>
      <c r="C25" s="50"/>
      <c r="D25" s="50"/>
      <c r="E25" s="51"/>
      <c r="I25" s="197" t="s">
        <v>237</v>
      </c>
      <c r="J25" s="198"/>
      <c r="K25" s="198"/>
      <c r="L25" s="198"/>
      <c r="M25" s="199"/>
    </row>
    <row r="26" spans="2:13" ht="69" customHeight="1" x14ac:dyDescent="0.25">
      <c r="B26" s="46" t="s">
        <v>215</v>
      </c>
      <c r="C26" s="47" t="s">
        <v>232</v>
      </c>
      <c r="D26" s="47" t="s">
        <v>45</v>
      </c>
      <c r="E26" s="66" t="s">
        <v>236</v>
      </c>
      <c r="I26" s="46"/>
      <c r="J26" s="67" t="s">
        <v>215</v>
      </c>
      <c r="K26" s="47" t="s">
        <v>232</v>
      </c>
      <c r="L26" s="47" t="s">
        <v>45</v>
      </c>
      <c r="M26" s="66" t="s">
        <v>236</v>
      </c>
    </row>
    <row r="27" spans="2:13" x14ac:dyDescent="0.25">
      <c r="B27" s="55" t="s">
        <v>16</v>
      </c>
      <c r="C27" s="56">
        <v>65.692729630986449</v>
      </c>
      <c r="D27" s="56">
        <v>89.317802889959239</v>
      </c>
      <c r="E27" s="37" t="s">
        <v>98</v>
      </c>
      <c r="I27" s="31" t="s">
        <v>234</v>
      </c>
      <c r="J27" s="62" t="s">
        <v>120</v>
      </c>
      <c r="K27" s="36">
        <v>100</v>
      </c>
      <c r="L27" s="36">
        <v>100</v>
      </c>
      <c r="M27" s="37">
        <v>0</v>
      </c>
    </row>
    <row r="28" spans="2:13" x14ac:dyDescent="0.25">
      <c r="B28" s="55" t="s">
        <v>9</v>
      </c>
      <c r="C28" s="56">
        <v>63.011435116510505</v>
      </c>
      <c r="D28" s="56">
        <v>80.704466827909258</v>
      </c>
      <c r="E28" s="37" t="s">
        <v>103</v>
      </c>
      <c r="I28" s="31" t="s">
        <v>234</v>
      </c>
      <c r="J28" s="62" t="s">
        <v>235</v>
      </c>
      <c r="K28" s="36" t="s">
        <v>52</v>
      </c>
      <c r="L28" s="36" t="s">
        <v>52</v>
      </c>
      <c r="M28" s="37">
        <v>0</v>
      </c>
    </row>
    <row r="29" spans="2:13" x14ac:dyDescent="0.25">
      <c r="B29" s="55" t="s">
        <v>4</v>
      </c>
      <c r="C29" s="56">
        <v>62.427202928522192</v>
      </c>
      <c r="D29" s="56">
        <v>67.873674897704475</v>
      </c>
      <c r="E29" s="37" t="s">
        <v>98</v>
      </c>
      <c r="I29" s="53" t="s">
        <v>234</v>
      </c>
      <c r="J29" s="63" t="s">
        <v>202</v>
      </c>
      <c r="K29" s="41">
        <v>75.2</v>
      </c>
      <c r="L29" s="41">
        <v>100</v>
      </c>
      <c r="M29" s="65" t="s">
        <v>109</v>
      </c>
    </row>
    <row r="30" spans="2:13" x14ac:dyDescent="0.25">
      <c r="B30" s="55" t="s">
        <v>20</v>
      </c>
      <c r="C30" s="56">
        <v>61.906365779723814</v>
      </c>
      <c r="D30" s="56">
        <v>86.788089043076027</v>
      </c>
      <c r="E30" s="37" t="s">
        <v>101</v>
      </c>
    </row>
    <row r="31" spans="2:13" x14ac:dyDescent="0.25">
      <c r="B31" s="55" t="s">
        <v>12</v>
      </c>
      <c r="C31" s="56">
        <v>61.424513207875748</v>
      </c>
      <c r="D31" s="56">
        <v>100</v>
      </c>
      <c r="E31" s="70" t="s">
        <v>104</v>
      </c>
    </row>
    <row r="32" spans="2:13" x14ac:dyDescent="0.25">
      <c r="B32" s="55" t="s">
        <v>13</v>
      </c>
      <c r="C32" s="56">
        <v>59.722829690872921</v>
      </c>
      <c r="D32" s="56">
        <v>70.155550279129102</v>
      </c>
      <c r="E32" s="37" t="s">
        <v>96</v>
      </c>
    </row>
    <row r="33" spans="2:6" x14ac:dyDescent="0.25">
      <c r="B33" s="55" t="s">
        <v>3</v>
      </c>
      <c r="C33" s="56">
        <v>58.060753764470363</v>
      </c>
      <c r="D33" s="56">
        <v>62.317817802460809</v>
      </c>
      <c r="E33" s="37" t="s">
        <v>97</v>
      </c>
    </row>
    <row r="34" spans="2:6" x14ac:dyDescent="0.25">
      <c r="B34" s="55" t="s">
        <v>5</v>
      </c>
      <c r="C34" s="56">
        <v>57.445880432208774</v>
      </c>
      <c r="D34" s="56">
        <v>100</v>
      </c>
      <c r="E34" s="70" t="s">
        <v>99</v>
      </c>
    </row>
    <row r="35" spans="2:6" x14ac:dyDescent="0.25">
      <c r="B35" s="55" t="s">
        <v>17</v>
      </c>
      <c r="C35" s="56">
        <v>57.219237590931293</v>
      </c>
      <c r="D35" s="56">
        <v>74.905765740611471</v>
      </c>
      <c r="E35" s="37" t="s">
        <v>107</v>
      </c>
    </row>
    <row r="36" spans="2:6" x14ac:dyDescent="0.25">
      <c r="B36" s="55" t="s">
        <v>18</v>
      </c>
      <c r="C36" s="56">
        <v>57.154378183156993</v>
      </c>
      <c r="D36" s="56">
        <v>70.955735821630356</v>
      </c>
      <c r="E36" s="37" t="s">
        <v>101</v>
      </c>
    </row>
    <row r="37" spans="2:6" x14ac:dyDescent="0.25">
      <c r="B37" s="55" t="s">
        <v>8</v>
      </c>
      <c r="C37" s="56">
        <v>53.855021101870115</v>
      </c>
      <c r="D37" s="56">
        <v>100</v>
      </c>
      <c r="E37" s="70" t="s">
        <v>102</v>
      </c>
    </row>
    <row r="38" spans="2:6" x14ac:dyDescent="0.25">
      <c r="B38" s="55" t="s">
        <v>15</v>
      </c>
      <c r="C38" s="56">
        <v>53.070242267255828</v>
      </c>
      <c r="D38" s="56">
        <v>61.747698082223913</v>
      </c>
      <c r="E38" s="37" t="s">
        <v>106</v>
      </c>
    </row>
    <row r="39" spans="2:6" x14ac:dyDescent="0.25">
      <c r="B39" s="55" t="s">
        <v>6</v>
      </c>
      <c r="C39" s="56">
        <v>50.303552143837017</v>
      </c>
      <c r="D39" s="56">
        <v>100</v>
      </c>
      <c r="E39" s="37" t="s">
        <v>100</v>
      </c>
    </row>
    <row r="40" spans="2:6" x14ac:dyDescent="0.25">
      <c r="B40" s="55" t="s">
        <v>19</v>
      </c>
      <c r="C40" s="56">
        <v>48.436698517219575</v>
      </c>
      <c r="D40" s="64">
        <v>100</v>
      </c>
      <c r="E40" s="37" t="s">
        <v>108</v>
      </c>
    </row>
    <row r="41" spans="2:6" x14ac:dyDescent="0.25">
      <c r="B41" s="55" t="s">
        <v>1</v>
      </c>
      <c r="C41" s="56">
        <v>48.35890767230169</v>
      </c>
      <c r="D41" s="71">
        <v>101.02218677065792</v>
      </c>
      <c r="E41" s="37" t="s">
        <v>101</v>
      </c>
    </row>
    <row r="42" spans="2:6" x14ac:dyDescent="0.25">
      <c r="B42" s="55" t="s">
        <v>14</v>
      </c>
      <c r="C42" s="56">
        <v>45.962074448985177</v>
      </c>
      <c r="D42" s="56">
        <v>56.009811937857719</v>
      </c>
      <c r="E42" s="37" t="s">
        <v>105</v>
      </c>
    </row>
    <row r="43" spans="2:6" x14ac:dyDescent="0.25">
      <c r="B43" s="55" t="s">
        <v>11</v>
      </c>
      <c r="C43" s="56">
        <v>41.434923616512336</v>
      </c>
      <c r="D43" s="56">
        <v>67.698231602966345</v>
      </c>
      <c r="E43" s="37" t="s">
        <v>101</v>
      </c>
    </row>
    <row r="44" spans="2:6" x14ac:dyDescent="0.25">
      <c r="B44" s="55" t="s">
        <v>2</v>
      </c>
      <c r="C44" s="56">
        <v>39.394343107723017</v>
      </c>
      <c r="D44" s="56">
        <v>97.45537567455375</v>
      </c>
      <c r="E44" s="37" t="s">
        <v>95</v>
      </c>
    </row>
    <row r="45" spans="2:6" x14ac:dyDescent="0.25">
      <c r="B45" s="55" t="s">
        <v>0</v>
      </c>
      <c r="C45" s="56">
        <v>36.483584815833197</v>
      </c>
      <c r="D45" s="56">
        <v>58.15934576544204</v>
      </c>
      <c r="E45" s="37" t="s">
        <v>95</v>
      </c>
    </row>
    <row r="46" spans="2:6" x14ac:dyDescent="0.25">
      <c r="B46" s="57" t="s">
        <v>10</v>
      </c>
      <c r="C46" s="58">
        <v>20.160707220911039</v>
      </c>
      <c r="D46" s="58">
        <v>20.160707220911039</v>
      </c>
      <c r="E46" s="65"/>
    </row>
    <row r="47" spans="2:6" x14ac:dyDescent="0.25">
      <c r="F47" s="36"/>
    </row>
    <row r="48" spans="2:6" x14ac:dyDescent="0.25">
      <c r="F48" s="36"/>
    </row>
    <row r="49" spans="6:6" x14ac:dyDescent="0.25">
      <c r="F49" s="36"/>
    </row>
  </sheetData>
  <mergeCells count="1">
    <mergeCell ref="I25:M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tabSelected="1" zoomScale="85" zoomScaleNormal="85" workbookViewId="0"/>
  </sheetViews>
  <sheetFormatPr defaultRowHeight="15" x14ac:dyDescent="0.25"/>
  <cols>
    <col min="2" max="2" width="1.5703125" customWidth="1"/>
    <col min="3" max="3" width="4.140625" bestFit="1" customWidth="1"/>
    <col min="4" max="4" width="28.85546875" bestFit="1" customWidth="1"/>
    <col min="5" max="5" width="16.5703125" customWidth="1"/>
    <col min="6" max="6" width="16.5703125" style="13" customWidth="1"/>
    <col min="7" max="7" width="16.5703125" style="86" customWidth="1"/>
    <col min="8" max="9" width="16.5703125" customWidth="1"/>
    <col min="10" max="10" width="16.5703125" style="86" customWidth="1"/>
    <col min="11" max="11" width="16.5703125" customWidth="1"/>
    <col min="12" max="12" width="16.5703125" style="13" customWidth="1"/>
    <col min="13" max="13" width="16.5703125" style="86" customWidth="1"/>
    <col min="14" max="14" width="1.5703125" customWidth="1"/>
  </cols>
  <sheetData>
    <row r="1" spans="1:14" ht="15.75" thickBot="1" x14ac:dyDescent="0.3">
      <c r="H1" s="87"/>
    </row>
    <row r="2" spans="1:14" ht="7.5" customHeight="1" x14ac:dyDescent="0.25">
      <c r="B2" s="88"/>
      <c r="C2" s="89"/>
      <c r="D2" s="89"/>
      <c r="E2" s="89"/>
      <c r="F2" s="90"/>
      <c r="G2" s="90"/>
      <c r="H2" s="89"/>
      <c r="I2" s="90"/>
      <c r="J2" s="90"/>
      <c r="K2" s="89"/>
      <c r="L2" s="90"/>
      <c r="M2" s="90"/>
      <c r="N2" s="91"/>
    </row>
    <row r="3" spans="1:14" ht="15.75" customHeight="1" thickBot="1" x14ac:dyDescent="0.3">
      <c r="B3" s="92"/>
      <c r="C3" s="93"/>
      <c r="D3" s="93"/>
      <c r="E3" s="93"/>
      <c r="F3" s="94"/>
      <c r="G3" s="203" t="s">
        <v>583</v>
      </c>
      <c r="H3" s="203"/>
      <c r="I3" s="203"/>
      <c r="J3" s="203"/>
      <c r="K3" s="93"/>
      <c r="L3" s="204"/>
      <c r="M3" s="204"/>
      <c r="N3" s="95"/>
    </row>
    <row r="4" spans="1:14" ht="122.25" x14ac:dyDescent="0.25">
      <c r="B4" s="92"/>
      <c r="C4" s="96"/>
      <c r="D4" s="96" t="s">
        <v>256</v>
      </c>
      <c r="E4" s="97" t="s">
        <v>324</v>
      </c>
      <c r="F4" s="98" t="s">
        <v>325</v>
      </c>
      <c r="G4" s="99" t="s">
        <v>257</v>
      </c>
      <c r="H4" s="97" t="s">
        <v>427</v>
      </c>
      <c r="I4" s="97" t="s">
        <v>428</v>
      </c>
      <c r="J4" s="99" t="s">
        <v>224</v>
      </c>
      <c r="K4" s="97" t="s">
        <v>421</v>
      </c>
      <c r="L4" s="98" t="s">
        <v>422</v>
      </c>
      <c r="M4" s="99" t="s">
        <v>224</v>
      </c>
      <c r="N4" s="95"/>
    </row>
    <row r="5" spans="1:14" s="103" customFormat="1" ht="14.25" customHeight="1" x14ac:dyDescent="0.25">
      <c r="A5"/>
      <c r="B5" s="92"/>
      <c r="C5" s="100">
        <v>1</v>
      </c>
      <c r="D5" s="100">
        <v>2</v>
      </c>
      <c r="E5" s="100">
        <v>3</v>
      </c>
      <c r="F5" s="100">
        <v>4</v>
      </c>
      <c r="G5" s="101" t="s">
        <v>258</v>
      </c>
      <c r="H5" s="100">
        <v>6</v>
      </c>
      <c r="I5" s="100">
        <v>7</v>
      </c>
      <c r="J5" s="101" t="s">
        <v>259</v>
      </c>
      <c r="K5" s="100">
        <v>9</v>
      </c>
      <c r="L5" s="100">
        <v>10</v>
      </c>
      <c r="M5" s="101" t="s">
        <v>260</v>
      </c>
      <c r="N5" s="102"/>
    </row>
    <row r="6" spans="1:14" ht="26.25" customHeight="1" thickBot="1" x14ac:dyDescent="0.3">
      <c r="B6" s="92"/>
      <c r="C6" s="93"/>
      <c r="D6" s="104" t="s">
        <v>261</v>
      </c>
      <c r="E6" s="105">
        <f>База!G2</f>
        <v>33398978</v>
      </c>
      <c r="F6" s="105">
        <f>База!H2</f>
        <v>32842479</v>
      </c>
      <c r="G6" s="106">
        <f>База!O2</f>
        <v>98.333784345137744</v>
      </c>
      <c r="H6" s="105">
        <f>База!AE2</f>
        <v>31254192</v>
      </c>
      <c r="I6" s="105">
        <f>База!AF2</f>
        <v>30710030</v>
      </c>
      <c r="J6" s="106">
        <f>База!AG2</f>
        <v>98.258915156085308</v>
      </c>
      <c r="K6" s="105">
        <f>База!V2</f>
        <v>22605950</v>
      </c>
      <c r="L6" s="105">
        <f>База!W2</f>
        <v>22174912</v>
      </c>
      <c r="M6" s="106">
        <f>База!X2</f>
        <v>98.093254209621804</v>
      </c>
      <c r="N6" s="95"/>
    </row>
    <row r="7" spans="1:14" ht="7.5" customHeight="1" x14ac:dyDescent="0.25">
      <c r="B7" s="92"/>
      <c r="C7" s="93"/>
      <c r="D7" s="93"/>
      <c r="E7" s="93"/>
      <c r="F7" s="93"/>
      <c r="G7" s="93"/>
      <c r="H7" s="93"/>
      <c r="I7" s="93"/>
      <c r="J7" s="93"/>
      <c r="K7" s="93"/>
      <c r="L7" s="93"/>
      <c r="M7" s="93"/>
      <c r="N7" s="95"/>
    </row>
    <row r="8" spans="1:14" x14ac:dyDescent="0.25">
      <c r="B8" s="92"/>
      <c r="C8" s="93">
        <v>1</v>
      </c>
      <c r="D8" s="107" t="s">
        <v>262</v>
      </c>
      <c r="E8" s="108">
        <f>VLOOKUP(D8,База!$A$4:$X$177,7,0)</f>
        <v>864597</v>
      </c>
      <c r="F8" s="108">
        <f>VLOOKUP(D8,База!$A$4:$X$177,8,0)</f>
        <v>864597</v>
      </c>
      <c r="G8" s="87">
        <f>VLOOKUP(D8,База!$A$4:$O$177,15,FALSE)</f>
        <v>100</v>
      </c>
      <c r="H8" s="108">
        <f>VLOOKUP(D8,База!$A$4:$AE$177,31,FALSE)</f>
        <v>828109</v>
      </c>
      <c r="I8" s="108">
        <f>VLOOKUP(D8,База!$A$4:$AF$177,32,FALSE)</f>
        <v>828109</v>
      </c>
      <c r="J8" s="87">
        <f>VLOOKUP(D8,База!$A$4:$AG$177,33,FALSE)</f>
        <v>100</v>
      </c>
      <c r="K8" s="108">
        <f>VLOOKUP(D8,База!$A$4:$V$177,22,FALSE)</f>
        <v>726234</v>
      </c>
      <c r="L8" s="108">
        <f>VLOOKUP(D8,База!$A$4:$W$177,23,FALSE)</f>
        <v>726234</v>
      </c>
      <c r="M8" s="87">
        <f>VLOOKUP(D8,База!$A$4:$X$177,24,0)</f>
        <v>100</v>
      </c>
      <c r="N8" s="95"/>
    </row>
    <row r="9" spans="1:14" x14ac:dyDescent="0.25">
      <c r="B9" s="92"/>
      <c r="C9" s="93">
        <v>2</v>
      </c>
      <c r="D9" s="107" t="s">
        <v>267</v>
      </c>
      <c r="E9" s="108">
        <f>VLOOKUP(D9,База!$A$4:$X$177,7,0)</f>
        <v>535025</v>
      </c>
      <c r="F9" s="108">
        <f>VLOOKUP(D9,База!$A$4:$X$177,8,0)</f>
        <v>535025</v>
      </c>
      <c r="G9" s="87">
        <f>VLOOKUP(D9,База!$A$4:$O$177,15,FALSE)</f>
        <v>100</v>
      </c>
      <c r="H9" s="108">
        <f>VLOOKUP(D9,База!$A$4:$AE$177,31,FALSE)</f>
        <v>525751</v>
      </c>
      <c r="I9" s="108">
        <f>VLOOKUP(D9,База!$A$4:$AF$177,32,FALSE)</f>
        <v>525751</v>
      </c>
      <c r="J9" s="87">
        <f>VLOOKUP(D9,База!$A$4:$AG$177,33,FALSE)</f>
        <v>100</v>
      </c>
      <c r="K9" s="108">
        <f>VLOOKUP(D9,База!$A$4:$V$177,22,FALSE)</f>
        <v>434075</v>
      </c>
      <c r="L9" s="108">
        <f>VLOOKUP(D9,База!$A$4:$W$177,23,FALSE)</f>
        <v>434075</v>
      </c>
      <c r="M9" s="87">
        <f>VLOOKUP(D9,База!$A$4:$X$177,24,0)</f>
        <v>100</v>
      </c>
      <c r="N9" s="95"/>
    </row>
    <row r="10" spans="1:14" x14ac:dyDescent="0.25">
      <c r="B10" s="92"/>
      <c r="C10" s="93">
        <v>3</v>
      </c>
      <c r="D10" s="107" t="s">
        <v>158</v>
      </c>
      <c r="E10" s="108">
        <f>VLOOKUP(D10,База!$A$4:$X$177,7,0)</f>
        <v>603659</v>
      </c>
      <c r="F10" s="108">
        <f>VLOOKUP(D10,База!$A$4:$X$177,8,0)</f>
        <v>603659</v>
      </c>
      <c r="G10" s="87">
        <f>VLOOKUP(D10,База!$A$4:$O$177,15,FALSE)</f>
        <v>100</v>
      </c>
      <c r="H10" s="108">
        <f>VLOOKUP(D10,База!$A$4:$AE$177,31,FALSE)</f>
        <v>603659</v>
      </c>
      <c r="I10" s="108">
        <f>VLOOKUP(D10,База!$A$4:$AF$177,32,FALSE)</f>
        <v>603659</v>
      </c>
      <c r="J10" s="87">
        <f>VLOOKUP(D10,База!$A$4:$AG$177,33,FALSE)</f>
        <v>100</v>
      </c>
      <c r="K10" s="108">
        <f>VLOOKUP(D10,База!$A$4:$V$177,22,FALSE)</f>
        <v>405593</v>
      </c>
      <c r="L10" s="108">
        <f>VLOOKUP(D10,База!$A$4:$W$177,23,FALSE)</f>
        <v>405593</v>
      </c>
      <c r="M10" s="87">
        <f>VLOOKUP(D10,База!$A$4:$X$177,24,0)</f>
        <v>100</v>
      </c>
      <c r="N10" s="95"/>
    </row>
    <row r="11" spans="1:14" x14ac:dyDescent="0.25">
      <c r="B11" s="92"/>
      <c r="C11" s="93">
        <v>4</v>
      </c>
      <c r="D11" s="107" t="s">
        <v>265</v>
      </c>
      <c r="E11" s="108">
        <f>VLOOKUP(D11,База!$A$4:$X$177,7,0)</f>
        <v>521133</v>
      </c>
      <c r="F11" s="108">
        <f>VLOOKUP(D11,База!$A$4:$X$177,8,0)</f>
        <v>521133</v>
      </c>
      <c r="G11" s="87">
        <f>VLOOKUP(D11,База!$A$4:$O$177,15,FALSE)</f>
        <v>100</v>
      </c>
      <c r="H11" s="108">
        <f>VLOOKUP(D11,База!$A$4:$AE$177,31,FALSE)</f>
        <v>513849</v>
      </c>
      <c r="I11" s="108">
        <f>VLOOKUP(D11,База!$A$4:$AF$177,32,FALSE)</f>
        <v>513849</v>
      </c>
      <c r="J11" s="87">
        <f>VLOOKUP(D11,База!$A$4:$AG$177,33,FALSE)</f>
        <v>100</v>
      </c>
      <c r="K11" s="108">
        <f>VLOOKUP(D11,База!$A$4:$V$177,22,FALSE)</f>
        <v>397536</v>
      </c>
      <c r="L11" s="108">
        <f>VLOOKUP(D11,База!$A$4:$W$177,23,FALSE)</f>
        <v>397536</v>
      </c>
      <c r="M11" s="87">
        <f>VLOOKUP(D11,База!$A$4:$X$177,24,0)</f>
        <v>100</v>
      </c>
      <c r="N11" s="95"/>
    </row>
    <row r="12" spans="1:14" x14ac:dyDescent="0.25">
      <c r="B12" s="92"/>
      <c r="C12" s="93">
        <v>5</v>
      </c>
      <c r="D12" s="109" t="s">
        <v>146</v>
      </c>
      <c r="E12" s="108">
        <f>VLOOKUP(D12,База!$A$4:$X$177,7,0)</f>
        <v>477340</v>
      </c>
      <c r="F12" s="108">
        <f>VLOOKUP(D12,База!$A$4:$X$177,8,0)</f>
        <v>477340</v>
      </c>
      <c r="G12" s="87">
        <f>VLOOKUP(D12,База!$A$4:$O$177,15,FALSE)</f>
        <v>100</v>
      </c>
      <c r="H12" s="108">
        <f>VLOOKUP(D12,База!$A$4:$AE$177,31,FALSE)</f>
        <v>464152</v>
      </c>
      <c r="I12" s="108">
        <f>VLOOKUP(D12,База!$A$4:$AF$177,32,FALSE)</f>
        <v>464152</v>
      </c>
      <c r="J12" s="87">
        <f>VLOOKUP(D12,База!$A$4:$AG$177,33,FALSE)</f>
        <v>100</v>
      </c>
      <c r="K12" s="108">
        <f>VLOOKUP(D12,База!$A$4:$V$177,22,FALSE)</f>
        <v>391942</v>
      </c>
      <c r="L12" s="108">
        <f>VLOOKUP(D12,База!$A$4:$W$177,23,FALSE)</f>
        <v>391942</v>
      </c>
      <c r="M12" s="87">
        <f>VLOOKUP(D12,База!$A$4:$X$177,24,0)</f>
        <v>100</v>
      </c>
      <c r="N12" s="95"/>
    </row>
    <row r="13" spans="1:14" x14ac:dyDescent="0.25">
      <c r="B13" s="92"/>
      <c r="C13" s="93">
        <v>6</v>
      </c>
      <c r="D13" s="107" t="s">
        <v>264</v>
      </c>
      <c r="E13" s="108">
        <f>VLOOKUP(D13,База!$A$4:$X$177,7,0)</f>
        <v>583123</v>
      </c>
      <c r="F13" s="108">
        <f>VLOOKUP(D13,База!$A$4:$X$177,8,0)</f>
        <v>583123</v>
      </c>
      <c r="G13" s="87">
        <f>VLOOKUP(D13,База!$A$4:$O$177,15,FALSE)</f>
        <v>100</v>
      </c>
      <c r="H13" s="194">
        <f>VLOOKUP(D13,База!$A$4:$AE$177,31,FALSE)</f>
        <v>583123</v>
      </c>
      <c r="I13" s="108">
        <f>VLOOKUP(D13,База!$A$4:$AF$177,32,FALSE)</f>
        <v>583123</v>
      </c>
      <c r="J13" s="87">
        <f>VLOOKUP(D13,База!$A$4:$AG$177,33,FALSE)</f>
        <v>100</v>
      </c>
      <c r="K13" s="108">
        <f>VLOOKUP(D13,База!$A$4:$V$177,22,FALSE)</f>
        <v>378178</v>
      </c>
      <c r="L13" s="108">
        <f>VLOOKUP(D13,База!$A$4:$W$177,23,FALSE)</f>
        <v>378178</v>
      </c>
      <c r="M13" s="87">
        <f>VLOOKUP(D13,База!$A$4:$X$177,24,0)</f>
        <v>100</v>
      </c>
      <c r="N13" s="95"/>
    </row>
    <row r="14" spans="1:14" x14ac:dyDescent="0.25">
      <c r="B14" s="92"/>
      <c r="C14" s="93">
        <v>7</v>
      </c>
      <c r="D14" s="107" t="s">
        <v>263</v>
      </c>
      <c r="E14" s="108">
        <f>VLOOKUP(D14,База!$A$4:$X$177,7,0)</f>
        <v>563537</v>
      </c>
      <c r="F14" s="108">
        <f>VLOOKUP(D14,База!$A$4:$X$177,8,0)</f>
        <v>563537</v>
      </c>
      <c r="G14" s="87">
        <f>VLOOKUP(D14,База!$A$4:$O$177,15,FALSE)</f>
        <v>100</v>
      </c>
      <c r="H14" s="108">
        <f>VLOOKUP(D14,База!$A$4:$AE$177,31,FALSE)</f>
        <v>526485</v>
      </c>
      <c r="I14" s="108">
        <f>VLOOKUP(D14,База!$A$4:$AF$177,32,FALSE)</f>
        <v>526485</v>
      </c>
      <c r="J14" s="87">
        <f>VLOOKUP(D14,База!$A$4:$AG$177,33,FALSE)</f>
        <v>100</v>
      </c>
      <c r="K14" s="108">
        <f>VLOOKUP(D14,База!$A$4:$V$177,22,FALSE)</f>
        <v>367634</v>
      </c>
      <c r="L14" s="108">
        <f>VLOOKUP(D14,База!$A$4:$W$177,23,FALSE)</f>
        <v>367634</v>
      </c>
      <c r="M14" s="87">
        <f>VLOOKUP(D14,База!$A$4:$X$177,24,0)</f>
        <v>100</v>
      </c>
      <c r="N14" s="95"/>
    </row>
    <row r="15" spans="1:14" x14ac:dyDescent="0.25">
      <c r="B15" s="92"/>
      <c r="C15" s="93">
        <v>8</v>
      </c>
      <c r="D15" s="107" t="s">
        <v>173</v>
      </c>
      <c r="E15" s="108">
        <f>VLOOKUP(D15,База!$A$4:$X$177,7,0)</f>
        <v>499108</v>
      </c>
      <c r="F15" s="108">
        <f>VLOOKUP(D15,База!$A$4:$X$177,8,0)</f>
        <v>499108</v>
      </c>
      <c r="G15" s="87">
        <f>VLOOKUP(D15,База!$A$4:$O$177,15,FALSE)</f>
        <v>100</v>
      </c>
      <c r="H15" s="108">
        <f>VLOOKUP(D15,База!$A$4:$AE$177,31,FALSE)</f>
        <v>430022</v>
      </c>
      <c r="I15" s="108">
        <f>VLOOKUP(D15,База!$A$4:$AF$177,32,FALSE)</f>
        <v>430022</v>
      </c>
      <c r="J15" s="87">
        <f>VLOOKUP(D15,База!$A$4:$AG$177,33,FALSE)</f>
        <v>100</v>
      </c>
      <c r="K15" s="108">
        <f>VLOOKUP(D15,База!$A$4:$V$177,22,FALSE)</f>
        <v>326537</v>
      </c>
      <c r="L15" s="108">
        <f>VLOOKUP(D15,База!$A$4:$W$177,23,FALSE)</f>
        <v>326537</v>
      </c>
      <c r="M15" s="87">
        <f>VLOOKUP(D15,База!$A$4:$X$177,24,0)</f>
        <v>100</v>
      </c>
      <c r="N15" s="95"/>
    </row>
    <row r="16" spans="1:14" x14ac:dyDescent="0.25">
      <c r="B16" s="92"/>
      <c r="C16" s="93">
        <v>9</v>
      </c>
      <c r="D16" s="107" t="s">
        <v>268</v>
      </c>
      <c r="E16" s="108">
        <f>VLOOKUP(D16,База!$A$4:$X$177,7,0)</f>
        <v>411579</v>
      </c>
      <c r="F16" s="108">
        <f>VLOOKUP(D16,База!$A$4:$X$177,8,0)</f>
        <v>411579</v>
      </c>
      <c r="G16" s="87">
        <f>VLOOKUP(D16,База!$A$4:$O$177,15,FALSE)</f>
        <v>100</v>
      </c>
      <c r="H16" s="108">
        <f>VLOOKUP(D16,База!$A$4:$AE$177,31,FALSE)</f>
        <v>400837</v>
      </c>
      <c r="I16" s="108">
        <f>VLOOKUP(D16,База!$A$4:$AF$177,32,FALSE)</f>
        <v>400837</v>
      </c>
      <c r="J16" s="87">
        <f>VLOOKUP(D16,База!$A$4:$AG$177,33,FALSE)</f>
        <v>100</v>
      </c>
      <c r="K16" s="108">
        <f>VLOOKUP(D16,База!$A$4:$V$177,22,FALSE)</f>
        <v>311165</v>
      </c>
      <c r="L16" s="108">
        <f>VLOOKUP(D16,База!$A$4:$W$177,23,FALSE)</f>
        <v>311165</v>
      </c>
      <c r="M16" s="87">
        <f>VLOOKUP(D16,База!$A$4:$X$177,24,0)</f>
        <v>100</v>
      </c>
      <c r="N16" s="95"/>
    </row>
    <row r="17" spans="2:14" x14ac:dyDescent="0.25">
      <c r="B17" s="92"/>
      <c r="C17" s="93">
        <v>10</v>
      </c>
      <c r="D17" s="107" t="s">
        <v>193</v>
      </c>
      <c r="E17" s="108">
        <f>VLOOKUP(D17,База!$A$4:$X$177,7,0)</f>
        <v>457880</v>
      </c>
      <c r="F17" s="108">
        <f>VLOOKUP(D17,База!$A$4:$X$177,8,0)</f>
        <v>457880</v>
      </c>
      <c r="G17" s="87">
        <f>VLOOKUP(D17,База!$A$4:$O$177,15,FALSE)</f>
        <v>100</v>
      </c>
      <c r="H17" s="108">
        <f>VLOOKUP(D17,База!$A$4:$AE$177,31,FALSE)</f>
        <v>433367</v>
      </c>
      <c r="I17" s="108">
        <f>VLOOKUP(D17,База!$A$4:$AF$177,32,FALSE)</f>
        <v>433367</v>
      </c>
      <c r="J17" s="87">
        <f>VLOOKUP(D17,База!$A$4:$AG$177,33,FALSE)</f>
        <v>100</v>
      </c>
      <c r="K17" s="108">
        <f>VLOOKUP(D17,База!$A$4:$V$177,22,FALSE)</f>
        <v>298489</v>
      </c>
      <c r="L17" s="108">
        <f>VLOOKUP(D17,База!$A$4:$W$177,23,FALSE)</f>
        <v>298489</v>
      </c>
      <c r="M17" s="87">
        <f>VLOOKUP(D17,База!$A$4:$X$177,24,0)</f>
        <v>100</v>
      </c>
      <c r="N17" s="95"/>
    </row>
    <row r="18" spans="2:14" x14ac:dyDescent="0.25">
      <c r="B18" s="92"/>
      <c r="C18" s="93">
        <v>11</v>
      </c>
      <c r="D18" s="107" t="s">
        <v>159</v>
      </c>
      <c r="E18" s="108">
        <f>VLOOKUP(D18,База!$A$4:$X$177,7,0)</f>
        <v>364434</v>
      </c>
      <c r="F18" s="108">
        <f>VLOOKUP(D18,База!$A$4:$X$177,8,0)</f>
        <v>364434</v>
      </c>
      <c r="G18" s="87">
        <f>VLOOKUP(D18,База!$A$4:$O$177,15,FALSE)</f>
        <v>100</v>
      </c>
      <c r="H18" s="108">
        <f>VLOOKUP(D18,База!$A$4:$AE$177,31,FALSE)</f>
        <v>341609</v>
      </c>
      <c r="I18" s="108">
        <f>VLOOKUP(D18,База!$A$4:$AF$177,32,FALSE)</f>
        <v>341609</v>
      </c>
      <c r="J18" s="87">
        <f>VLOOKUP(D18,База!$A$4:$AG$177,33,FALSE)</f>
        <v>100</v>
      </c>
      <c r="K18" s="108">
        <f>VLOOKUP(D18,База!$A$4:$V$177,22,FALSE)</f>
        <v>272469</v>
      </c>
      <c r="L18" s="108">
        <f>VLOOKUP(D18,База!$A$4:$W$177,23,FALSE)</f>
        <v>272469</v>
      </c>
      <c r="M18" s="87">
        <f>VLOOKUP(D18,База!$A$4:$X$177,24,0)</f>
        <v>100</v>
      </c>
      <c r="N18" s="95"/>
    </row>
    <row r="19" spans="2:14" x14ac:dyDescent="0.25">
      <c r="B19" s="92"/>
      <c r="C19" s="93">
        <v>12</v>
      </c>
      <c r="D19" s="107" t="s">
        <v>269</v>
      </c>
      <c r="E19" s="108">
        <f>VLOOKUP(D19,База!$A$4:$X$177,7,0)</f>
        <v>401018</v>
      </c>
      <c r="F19" s="108">
        <f>VLOOKUP(D19,База!$A$4:$X$177,8,0)</f>
        <v>401018</v>
      </c>
      <c r="G19" s="87">
        <f>VLOOKUP(D19,База!$A$4:$O$177,15,FALSE)</f>
        <v>100</v>
      </c>
      <c r="H19" s="108">
        <f>VLOOKUP(D19,База!$A$4:$AE$177,31,FALSE)</f>
        <v>389138</v>
      </c>
      <c r="I19" s="108">
        <f>VLOOKUP(D19,База!$A$4:$AF$177,32,FALSE)</f>
        <v>389138</v>
      </c>
      <c r="J19" s="87">
        <f>VLOOKUP(D19,База!$A$4:$AG$177,33,FALSE)</f>
        <v>100</v>
      </c>
      <c r="K19" s="108">
        <f>VLOOKUP(D19,База!$A$4:$V$177,22,FALSE)</f>
        <v>266844</v>
      </c>
      <c r="L19" s="108">
        <f>VLOOKUP(D19,База!$A$4:$W$177,23,FALSE)</f>
        <v>266844</v>
      </c>
      <c r="M19" s="87">
        <f>VLOOKUP(D19,База!$A$4:$X$177,24,0)</f>
        <v>100</v>
      </c>
      <c r="N19" s="95"/>
    </row>
    <row r="20" spans="2:14" x14ac:dyDescent="0.25">
      <c r="B20" s="92"/>
      <c r="C20" s="93">
        <v>13</v>
      </c>
      <c r="D20" s="107" t="s">
        <v>129</v>
      </c>
      <c r="E20" s="108">
        <f>VLOOKUP(D20,База!$A$4:$X$177,7,0)</f>
        <v>392836</v>
      </c>
      <c r="F20" s="108">
        <f>VLOOKUP(D20,База!$A$4:$X$177,8,0)</f>
        <v>392836</v>
      </c>
      <c r="G20" s="87">
        <f>VLOOKUP(D20,База!$A$4:$O$177,15,FALSE)</f>
        <v>100</v>
      </c>
      <c r="H20" s="108">
        <f>VLOOKUP(D20,База!$A$4:$AE$177,31,FALSE)</f>
        <v>363832</v>
      </c>
      <c r="I20" s="108">
        <f>VLOOKUP(D20,База!$A$4:$AF$177,32,FALSE)</f>
        <v>363832</v>
      </c>
      <c r="J20" s="87">
        <f>VLOOKUP(D20,База!$A$4:$AG$177,33,FALSE)</f>
        <v>100</v>
      </c>
      <c r="K20" s="108">
        <f>VLOOKUP(D20,База!$A$4:$V$177,22,FALSE)</f>
        <v>257603</v>
      </c>
      <c r="L20" s="108">
        <f>VLOOKUP(D20,База!$A$4:$W$177,23,FALSE)</f>
        <v>257603</v>
      </c>
      <c r="M20" s="87">
        <f>VLOOKUP(D20,База!$A$4:$X$177,24,0)</f>
        <v>100</v>
      </c>
      <c r="N20" s="95"/>
    </row>
    <row r="21" spans="2:14" x14ac:dyDescent="0.25">
      <c r="B21" s="92"/>
      <c r="C21" s="93">
        <v>14</v>
      </c>
      <c r="D21" s="107" t="s">
        <v>190</v>
      </c>
      <c r="E21" s="108">
        <f>VLOOKUP(D21,База!$A$4:$X$177,7,0)</f>
        <v>342021</v>
      </c>
      <c r="F21" s="108">
        <f>VLOOKUP(D21,База!$A$4:$X$177,8,0)</f>
        <v>342021</v>
      </c>
      <c r="G21" s="87">
        <f>VLOOKUP(D21,База!$A$4:$O$177,15,FALSE)</f>
        <v>100</v>
      </c>
      <c r="H21" s="108">
        <f>VLOOKUP(D21,База!$A$4:$AE$177,31,FALSE)</f>
        <v>335607</v>
      </c>
      <c r="I21" s="108">
        <f>VLOOKUP(D21,База!$A$4:$AF$177,32,FALSE)</f>
        <v>335607</v>
      </c>
      <c r="J21" s="87">
        <f>VLOOKUP(D21,База!$A$4:$AG$177,33,FALSE)</f>
        <v>100</v>
      </c>
      <c r="K21" s="108">
        <f>VLOOKUP(D21,База!$A$4:$V$177,22,FALSE)</f>
        <v>250497</v>
      </c>
      <c r="L21" s="108">
        <f>VLOOKUP(D21,База!$A$4:$W$177,23,FALSE)</f>
        <v>250497</v>
      </c>
      <c r="M21" s="87">
        <f>VLOOKUP(D21,База!$A$4:$X$177,24,0)</f>
        <v>100</v>
      </c>
      <c r="N21" s="95"/>
    </row>
    <row r="22" spans="2:14" x14ac:dyDescent="0.25">
      <c r="B22" s="92"/>
      <c r="C22" s="93">
        <v>15</v>
      </c>
      <c r="D22" s="107" t="s">
        <v>266</v>
      </c>
      <c r="E22" s="108">
        <f>VLOOKUP(D22,База!$A$4:$X$177,7,0)</f>
        <v>428451</v>
      </c>
      <c r="F22" s="108">
        <f>VLOOKUP(D22,База!$A$4:$X$177,8,0)</f>
        <v>428451</v>
      </c>
      <c r="G22" s="87">
        <f>VLOOKUP(D22,База!$A$4:$O$177,15,FALSE)</f>
        <v>100</v>
      </c>
      <c r="H22" s="108">
        <f>VLOOKUP(D22,База!$A$4:$AE$177,31,FALSE)</f>
        <v>327609</v>
      </c>
      <c r="I22" s="108">
        <f>VLOOKUP(D22,База!$A$4:$AF$177,32,FALSE)</f>
        <v>327609</v>
      </c>
      <c r="J22" s="87">
        <f>VLOOKUP(D22,База!$A$4:$AG$177,33,FALSE)</f>
        <v>100</v>
      </c>
      <c r="K22" s="108">
        <f>VLOOKUP(D22,База!$A$4:$V$177,22,FALSE)</f>
        <v>250082</v>
      </c>
      <c r="L22" s="108">
        <f>VLOOKUP(D22,База!$A$4:$W$177,23,FALSE)</f>
        <v>250082</v>
      </c>
      <c r="M22" s="87">
        <f>VLOOKUP(D22,База!$A$4:$X$177,24,0)</f>
        <v>100</v>
      </c>
      <c r="N22" s="95"/>
    </row>
    <row r="23" spans="2:14" x14ac:dyDescent="0.25">
      <c r="B23" s="92"/>
      <c r="C23" s="93">
        <v>16</v>
      </c>
      <c r="D23" s="107" t="s">
        <v>33</v>
      </c>
      <c r="E23" s="108">
        <f>VLOOKUP(D23,База!$A$4:$X$177,7,0)</f>
        <v>300897</v>
      </c>
      <c r="F23" s="108">
        <f>VLOOKUP(D23,База!$A$4:$X$177,8,0)</f>
        <v>300897</v>
      </c>
      <c r="G23" s="87">
        <f>VLOOKUP(D23,База!$A$4:$O$177,15,FALSE)</f>
        <v>100</v>
      </c>
      <c r="H23" s="108">
        <f>VLOOKUP(D23,База!$A$4:$AE$177,31,FALSE)</f>
        <v>296817</v>
      </c>
      <c r="I23" s="108">
        <f>VLOOKUP(D23,База!$A$4:$AF$177,32,FALSE)</f>
        <v>296817</v>
      </c>
      <c r="J23" s="87">
        <f>VLOOKUP(D23,База!$A$4:$AG$177,33,FALSE)</f>
        <v>100</v>
      </c>
      <c r="K23" s="108">
        <f>VLOOKUP(D23,База!$A$4:$V$177,22,FALSE)</f>
        <v>248614</v>
      </c>
      <c r="L23" s="108">
        <f>VLOOKUP(D23,База!$A$4:$W$177,23,FALSE)</f>
        <v>248614</v>
      </c>
      <c r="M23" s="87">
        <f>VLOOKUP(D23,База!$A$4:$X$177,24,0)</f>
        <v>100</v>
      </c>
      <c r="N23" s="95"/>
    </row>
    <row r="24" spans="2:14" x14ac:dyDescent="0.25">
      <c r="B24" s="92"/>
      <c r="C24" s="93">
        <v>17</v>
      </c>
      <c r="D24" s="107" t="s">
        <v>206</v>
      </c>
      <c r="E24" s="108">
        <f>VLOOKUP(D24,База!$A$4:$X$177,7,0)</f>
        <v>305342</v>
      </c>
      <c r="F24" s="108">
        <f>VLOOKUP(D24,База!$A$4:$X$177,8,0)</f>
        <v>305342</v>
      </c>
      <c r="G24" s="87">
        <f>VLOOKUP(D24,База!$A$4:$O$177,15,FALSE)</f>
        <v>100</v>
      </c>
      <c r="H24" s="108">
        <f>VLOOKUP(D24,База!$A$4:$AE$177,31,FALSE)</f>
        <v>301448</v>
      </c>
      <c r="I24" s="108">
        <f>VLOOKUP(D24,База!$A$4:$AF$177,32,FALSE)</f>
        <v>301448</v>
      </c>
      <c r="J24" s="87">
        <f>VLOOKUP(D24,База!$A$4:$AG$177,33,FALSE)</f>
        <v>100</v>
      </c>
      <c r="K24" s="108">
        <f>VLOOKUP(D24,База!$A$4:$V$177,22,FALSE)</f>
        <v>247758</v>
      </c>
      <c r="L24" s="108">
        <f>VLOOKUP(D24,База!$A$4:$W$177,23,FALSE)</f>
        <v>247758</v>
      </c>
      <c r="M24" s="87">
        <f>VLOOKUP(D24,База!$A$4:$X$177,24,0)</f>
        <v>100</v>
      </c>
      <c r="N24" s="95"/>
    </row>
    <row r="25" spans="2:14" x14ac:dyDescent="0.25">
      <c r="B25" s="92"/>
      <c r="C25" s="93">
        <v>18</v>
      </c>
      <c r="D25" s="107" t="s">
        <v>155</v>
      </c>
      <c r="E25" s="108">
        <f>VLOOKUP(D25,База!$A$4:$X$177,7,0)</f>
        <v>249652</v>
      </c>
      <c r="F25" s="108">
        <f>VLOOKUP(D25,База!$A$4:$X$177,8,0)</f>
        <v>249652</v>
      </c>
      <c r="G25" s="87">
        <f>VLOOKUP(D25,База!$A$4:$O$177,15,FALSE)</f>
        <v>100</v>
      </c>
      <c r="H25" s="108">
        <f>VLOOKUP(D25,База!$A$4:$AE$177,31,FALSE)</f>
        <v>243160</v>
      </c>
      <c r="I25" s="108">
        <f>VLOOKUP(D25,База!$A$4:$AF$177,32,FALSE)</f>
        <v>243160</v>
      </c>
      <c r="J25" s="87">
        <f>VLOOKUP(D25,База!$A$4:$AG$177,33,FALSE)</f>
        <v>100</v>
      </c>
      <c r="K25" s="108">
        <f>VLOOKUP(D25,База!$A$4:$V$177,22,FALSE)</f>
        <v>229632</v>
      </c>
      <c r="L25" s="108">
        <f>VLOOKUP(D25,База!$A$4:$W$177,23,FALSE)</f>
        <v>229632</v>
      </c>
      <c r="M25" s="87">
        <f>VLOOKUP(D25,База!$A$4:$X$177,24,0)</f>
        <v>100</v>
      </c>
      <c r="N25" s="95"/>
    </row>
    <row r="26" spans="2:14" x14ac:dyDescent="0.25">
      <c r="B26" s="92"/>
      <c r="C26" s="93">
        <v>19</v>
      </c>
      <c r="D26" s="109" t="s">
        <v>26</v>
      </c>
      <c r="E26" s="108">
        <f>VLOOKUP(D26,База!$A$4:$X$177,7,0)</f>
        <v>255166</v>
      </c>
      <c r="F26" s="108">
        <f>VLOOKUP(D26,База!$A$4:$X$177,8,0)</f>
        <v>255166</v>
      </c>
      <c r="G26" s="87">
        <f>VLOOKUP(D26,База!$A$4:$O$177,15,FALSE)</f>
        <v>100</v>
      </c>
      <c r="H26" s="108">
        <f>VLOOKUP(D26,База!$A$4:$AE$177,31,FALSE)</f>
        <v>254329</v>
      </c>
      <c r="I26" s="108">
        <f>VLOOKUP(D26,База!$A$4:$AF$177,32,FALSE)</f>
        <v>254329</v>
      </c>
      <c r="J26" s="87">
        <f>VLOOKUP(D26,База!$A$4:$AG$177,33,FALSE)</f>
        <v>100</v>
      </c>
      <c r="K26" s="108">
        <f>VLOOKUP(D26,База!$A$4:$V$177,22,FALSE)</f>
        <v>221987</v>
      </c>
      <c r="L26" s="108">
        <f>VLOOKUP(D26,База!$A$4:$W$177,23,FALSE)</f>
        <v>221987</v>
      </c>
      <c r="M26" s="87">
        <f>VLOOKUP(D26,База!$A$4:$X$177,24,0)</f>
        <v>100</v>
      </c>
      <c r="N26" s="95"/>
    </row>
    <row r="27" spans="2:14" x14ac:dyDescent="0.25">
      <c r="B27" s="92"/>
      <c r="C27" s="93">
        <v>20</v>
      </c>
      <c r="D27" s="107" t="s">
        <v>176</v>
      </c>
      <c r="E27" s="108">
        <f>VLOOKUP(D27,База!$A$4:$X$177,7,0)</f>
        <v>283223</v>
      </c>
      <c r="F27" s="108">
        <f>VLOOKUP(D27,База!$A$4:$X$177,8,0)</f>
        <v>283223</v>
      </c>
      <c r="G27" s="87">
        <f>VLOOKUP(D27,База!$A$4:$O$177,15,FALSE)</f>
        <v>100</v>
      </c>
      <c r="H27" s="108">
        <f>VLOOKUP(D27,База!$A$4:$AE$177,31,FALSE)</f>
        <v>276015</v>
      </c>
      <c r="I27" s="108">
        <f>VLOOKUP(D27,База!$A$4:$AF$177,32,FALSE)</f>
        <v>276015</v>
      </c>
      <c r="J27" s="87">
        <f>VLOOKUP(D27,База!$A$4:$AG$177,33,FALSE)</f>
        <v>100</v>
      </c>
      <c r="K27" s="108">
        <f>VLOOKUP(D27,База!$A$4:$V$177,22,FALSE)</f>
        <v>206404</v>
      </c>
      <c r="L27" s="108">
        <f>VLOOKUP(D27,База!$A$4:$W$177,23,FALSE)</f>
        <v>206404</v>
      </c>
      <c r="M27" s="87">
        <f>VLOOKUP(D27,База!$A$4:$X$177,24,0)</f>
        <v>100</v>
      </c>
      <c r="N27" s="95"/>
    </row>
    <row r="28" spans="2:14" x14ac:dyDescent="0.25">
      <c r="B28" s="92"/>
      <c r="C28" s="93">
        <v>21</v>
      </c>
      <c r="D28" s="107" t="s">
        <v>274</v>
      </c>
      <c r="E28" s="108">
        <f>VLOOKUP(D28,База!$A$4:$X$177,7,0)</f>
        <v>271764</v>
      </c>
      <c r="F28" s="108">
        <f>VLOOKUP(D28,База!$A$4:$X$177,8,0)</f>
        <v>271764</v>
      </c>
      <c r="G28" s="87">
        <f>VLOOKUP(D28,База!$A$4:$O$177,15,FALSE)</f>
        <v>100</v>
      </c>
      <c r="H28" s="108">
        <f>VLOOKUP(D28,База!$A$4:$AE$177,31,FALSE)</f>
        <v>267587</v>
      </c>
      <c r="I28" s="108">
        <f>VLOOKUP(D28,База!$A$4:$AF$177,32,FALSE)</f>
        <v>267587</v>
      </c>
      <c r="J28" s="87">
        <f>VLOOKUP(D28,База!$A$4:$AG$177,33,FALSE)</f>
        <v>100</v>
      </c>
      <c r="K28" s="108">
        <f>VLOOKUP(D28,База!$A$4:$V$177,22,FALSE)</f>
        <v>197892</v>
      </c>
      <c r="L28" s="108">
        <f>VLOOKUP(D28,База!$A$4:$W$177,23,FALSE)</f>
        <v>197892</v>
      </c>
      <c r="M28" s="87">
        <f>VLOOKUP(D28,База!$A$4:$X$177,24,0)</f>
        <v>100</v>
      </c>
      <c r="N28" s="95"/>
    </row>
    <row r="29" spans="2:14" x14ac:dyDescent="0.25">
      <c r="B29" s="92"/>
      <c r="C29" s="93">
        <v>22</v>
      </c>
      <c r="D29" s="107" t="s">
        <v>245</v>
      </c>
      <c r="E29" s="108">
        <f>VLOOKUP(D29,База!$A$4:$X$177,7,0)</f>
        <v>243289</v>
      </c>
      <c r="F29" s="108">
        <f>VLOOKUP(D29,База!$A$4:$X$177,8,0)</f>
        <v>243289</v>
      </c>
      <c r="G29" s="87">
        <f>VLOOKUP(D29,База!$A$4:$O$177,15,FALSE)</f>
        <v>100</v>
      </c>
      <c r="H29" s="108">
        <f>VLOOKUP(D29,База!$A$4:$AE$177,31,FALSE)</f>
        <v>240780</v>
      </c>
      <c r="I29" s="108">
        <f>VLOOKUP(D29,База!$A$4:$AF$177,32,FALSE)</f>
        <v>240780</v>
      </c>
      <c r="J29" s="87">
        <f>VLOOKUP(D29,База!$A$4:$AG$177,33,FALSE)</f>
        <v>100</v>
      </c>
      <c r="K29" s="108">
        <f>VLOOKUP(D29,База!$A$4:$V$177,22,FALSE)</f>
        <v>195631</v>
      </c>
      <c r="L29" s="108">
        <f>VLOOKUP(D29,База!$A$4:$W$177,23,FALSE)</f>
        <v>195631</v>
      </c>
      <c r="M29" s="87">
        <f>VLOOKUP(D29,База!$A$4:$X$177,24,0)</f>
        <v>100</v>
      </c>
      <c r="N29" s="95"/>
    </row>
    <row r="30" spans="2:14" x14ac:dyDescent="0.25">
      <c r="B30" s="92"/>
      <c r="C30" s="93">
        <v>23</v>
      </c>
      <c r="D30" s="109" t="s">
        <v>34</v>
      </c>
      <c r="E30" s="108">
        <f>VLOOKUP(D30,База!$A$4:$X$177,7,0)</f>
        <v>208524</v>
      </c>
      <c r="F30" s="108">
        <f>VLOOKUP(D30,База!$A$4:$X$177,8,0)</f>
        <v>208524</v>
      </c>
      <c r="G30" s="87">
        <f>VLOOKUP(D30,База!$A$4:$O$177,15,FALSE)</f>
        <v>100</v>
      </c>
      <c r="H30" s="108">
        <f>VLOOKUP(D30,База!$A$4:$AE$177,31,FALSE)</f>
        <v>206740</v>
      </c>
      <c r="I30" s="108">
        <f>VLOOKUP(D30,База!$A$4:$AF$177,32,FALSE)</f>
        <v>206740</v>
      </c>
      <c r="J30" s="87">
        <f>VLOOKUP(D30,База!$A$4:$AG$177,33,FALSE)</f>
        <v>100</v>
      </c>
      <c r="K30" s="108">
        <f>VLOOKUP(D30,База!$A$4:$V$177,22,FALSE)</f>
        <v>184495</v>
      </c>
      <c r="L30" s="108">
        <f>VLOOKUP(D30,База!$A$4:$W$177,23,FALSE)</f>
        <v>184495</v>
      </c>
      <c r="M30" s="87">
        <f>VLOOKUP(D30,База!$A$4:$X$177,24,0)</f>
        <v>100</v>
      </c>
      <c r="N30" s="95"/>
    </row>
    <row r="31" spans="2:14" x14ac:dyDescent="0.25">
      <c r="B31" s="92"/>
      <c r="C31" s="93">
        <v>24</v>
      </c>
      <c r="D31" s="107" t="s">
        <v>181</v>
      </c>
      <c r="E31" s="108">
        <f>VLOOKUP(D31,База!$A$4:$X$177,7,0)</f>
        <v>287083</v>
      </c>
      <c r="F31" s="108">
        <f>VLOOKUP(D31,База!$A$4:$X$177,8,0)</f>
        <v>287083</v>
      </c>
      <c r="G31" s="87">
        <f>VLOOKUP(D31,База!$A$4:$O$177,15,FALSE)</f>
        <v>100</v>
      </c>
      <c r="H31" s="108">
        <f>VLOOKUP(D31,База!$A$4:$AE$177,31,FALSE)</f>
        <v>283505</v>
      </c>
      <c r="I31" s="108">
        <f>VLOOKUP(D31,База!$A$4:$AF$177,32,FALSE)</f>
        <v>283505</v>
      </c>
      <c r="J31" s="87">
        <f>VLOOKUP(D31,База!$A$4:$AG$177,33,FALSE)</f>
        <v>100</v>
      </c>
      <c r="K31" s="108">
        <f>VLOOKUP(D31,База!$A$4:$V$177,22,FALSE)</f>
        <v>181099</v>
      </c>
      <c r="L31" s="108">
        <f>VLOOKUP(D31,База!$A$4:$W$177,23,FALSE)</f>
        <v>181099</v>
      </c>
      <c r="M31" s="87">
        <f>VLOOKUP(D31,База!$A$4:$X$177,24,0)</f>
        <v>100</v>
      </c>
      <c r="N31" s="95"/>
    </row>
    <row r="32" spans="2:14" x14ac:dyDescent="0.25">
      <c r="B32" s="92"/>
      <c r="C32" s="93">
        <v>25</v>
      </c>
      <c r="D32" s="109" t="s">
        <v>142</v>
      </c>
      <c r="E32" s="108">
        <f>VLOOKUP(D32,База!$A$4:$X$177,7,0)</f>
        <v>253791</v>
      </c>
      <c r="F32" s="108">
        <f>VLOOKUP(D32,База!$A$4:$X$177,8,0)</f>
        <v>253791</v>
      </c>
      <c r="G32" s="87">
        <f>VLOOKUP(D32,База!$A$4:$O$177,15,FALSE)</f>
        <v>100</v>
      </c>
      <c r="H32" s="108">
        <f>VLOOKUP(D32,База!$A$4:$AE$177,31,FALSE)</f>
        <v>250674</v>
      </c>
      <c r="I32" s="108">
        <f>VLOOKUP(D32,База!$A$4:$AF$177,32,FALSE)</f>
        <v>250674</v>
      </c>
      <c r="J32" s="87">
        <f>VLOOKUP(D32,База!$A$4:$AG$177,33,FALSE)</f>
        <v>100</v>
      </c>
      <c r="K32" s="108">
        <f>VLOOKUP(D32,База!$A$4:$V$177,22,FALSE)</f>
        <v>179920</v>
      </c>
      <c r="L32" s="108">
        <f>VLOOKUP(D32,База!$A$4:$W$177,23,FALSE)</f>
        <v>179920</v>
      </c>
      <c r="M32" s="87">
        <f>VLOOKUP(D32,База!$A$4:$X$177,24,0)</f>
        <v>100</v>
      </c>
      <c r="N32" s="95"/>
    </row>
    <row r="33" spans="2:14" x14ac:dyDescent="0.25">
      <c r="B33" s="92"/>
      <c r="C33" s="93">
        <v>26</v>
      </c>
      <c r="D33" s="107" t="s">
        <v>272</v>
      </c>
      <c r="E33" s="108">
        <f>VLOOKUP(D33,База!$A$4:$X$177,7,0)</f>
        <v>297761</v>
      </c>
      <c r="F33" s="108">
        <f>VLOOKUP(D33,База!$A$4:$X$177,8,0)</f>
        <v>297761</v>
      </c>
      <c r="G33" s="87">
        <f>VLOOKUP(D33,База!$A$4:$O$177,15,FALSE)</f>
        <v>100</v>
      </c>
      <c r="H33" s="108">
        <f>VLOOKUP(D33,База!$A$4:$AE$177,31,FALSE)</f>
        <v>280911</v>
      </c>
      <c r="I33" s="108">
        <f>VLOOKUP(D33,База!$A$4:$AF$177,32,FALSE)</f>
        <v>280911</v>
      </c>
      <c r="J33" s="87">
        <f>VLOOKUP(D33,База!$A$4:$AG$177,33,FALSE)</f>
        <v>100</v>
      </c>
      <c r="K33" s="108">
        <f>VLOOKUP(D33,База!$A$4:$V$177,22,FALSE)</f>
        <v>178908</v>
      </c>
      <c r="L33" s="108">
        <f>VLOOKUP(D33,База!$A$4:$W$177,23,FALSE)</f>
        <v>178908</v>
      </c>
      <c r="M33" s="87">
        <f>VLOOKUP(D33,База!$A$4:$X$177,24,0)</f>
        <v>100</v>
      </c>
      <c r="N33" s="95"/>
    </row>
    <row r="34" spans="2:14" x14ac:dyDescent="0.25">
      <c r="B34" s="92"/>
      <c r="C34" s="93">
        <v>27</v>
      </c>
      <c r="D34" s="107" t="s">
        <v>270</v>
      </c>
      <c r="E34" s="108">
        <f>VLOOKUP(D34,База!$A$4:$X$177,7,0)</f>
        <v>298682</v>
      </c>
      <c r="F34" s="108">
        <f>VLOOKUP(D34,База!$A$4:$X$177,8,0)</f>
        <v>298682</v>
      </c>
      <c r="G34" s="87">
        <f>VLOOKUP(D34,База!$A$4:$O$177,15,FALSE)</f>
        <v>100</v>
      </c>
      <c r="H34" s="108">
        <f>VLOOKUP(D34,База!$A$4:$AE$177,31,FALSE)</f>
        <v>281933</v>
      </c>
      <c r="I34" s="108">
        <f>VLOOKUP(D34,База!$A$4:$AF$177,32,FALSE)</f>
        <v>281933</v>
      </c>
      <c r="J34" s="87">
        <f>VLOOKUP(D34,База!$A$4:$AG$177,33,FALSE)</f>
        <v>100</v>
      </c>
      <c r="K34" s="108">
        <f>VLOOKUP(D34,База!$A$4:$V$177,22,FALSE)</f>
        <v>178855</v>
      </c>
      <c r="L34" s="108">
        <f>VLOOKUP(D34,База!$A$4:$W$177,23,FALSE)</f>
        <v>178855</v>
      </c>
      <c r="M34" s="87">
        <f>VLOOKUP(D34,База!$A$4:$X$177,24,0)</f>
        <v>100</v>
      </c>
      <c r="N34" s="95"/>
    </row>
    <row r="35" spans="2:14" x14ac:dyDescent="0.25">
      <c r="B35" s="92"/>
      <c r="C35" s="93">
        <v>28</v>
      </c>
      <c r="D35" s="107" t="s">
        <v>94</v>
      </c>
      <c r="E35" s="108">
        <f>VLOOKUP(D35,База!$A$4:$X$177,7,0)</f>
        <v>180236</v>
      </c>
      <c r="F35" s="108">
        <f>VLOOKUP(D35,База!$A$4:$X$177,8,0)</f>
        <v>180236</v>
      </c>
      <c r="G35" s="87">
        <f>VLOOKUP(D35,База!$A$4:$O$177,15,FALSE)</f>
        <v>100</v>
      </c>
      <c r="H35" s="108">
        <f>VLOOKUP(D35,База!$A$4:$AE$177,31,FALSE)</f>
        <v>179082</v>
      </c>
      <c r="I35" s="108">
        <f>VLOOKUP(D35,База!$A$4:$AF$177,32,FALSE)</f>
        <v>179082</v>
      </c>
      <c r="J35" s="87">
        <f>VLOOKUP(D35,База!$A$4:$AG$177,33,FALSE)</f>
        <v>100</v>
      </c>
      <c r="K35" s="108">
        <f>VLOOKUP(D35,База!$A$4:$V$177,22,FALSE)</f>
        <v>177356</v>
      </c>
      <c r="L35" s="108">
        <f>VLOOKUP(D35,База!$A$4:$W$177,23,FALSE)</f>
        <v>177356</v>
      </c>
      <c r="M35" s="87">
        <f>VLOOKUP(D35,База!$A$4:$X$177,24,0)</f>
        <v>100</v>
      </c>
      <c r="N35" s="95"/>
    </row>
    <row r="36" spans="2:14" x14ac:dyDescent="0.25">
      <c r="B36" s="92"/>
      <c r="C36" s="93">
        <v>29</v>
      </c>
      <c r="D36" s="107" t="s">
        <v>191</v>
      </c>
      <c r="E36" s="108">
        <f>VLOOKUP(D36,База!$A$4:$X$177,7,0)</f>
        <v>241399</v>
      </c>
      <c r="F36" s="108">
        <f>VLOOKUP(D36,База!$A$4:$X$177,8,0)</f>
        <v>241399</v>
      </c>
      <c r="G36" s="87">
        <f>VLOOKUP(D36,База!$A$4:$O$177,15,FALSE)</f>
        <v>100</v>
      </c>
      <c r="H36" s="108">
        <f>VLOOKUP(D36,База!$A$4:$AE$177,31,FALSE)</f>
        <v>238392</v>
      </c>
      <c r="I36" s="108">
        <f>VLOOKUP(D36,База!$A$4:$AF$177,32,FALSE)</f>
        <v>238392</v>
      </c>
      <c r="J36" s="87">
        <f>VLOOKUP(D36,База!$A$4:$AG$177,33,FALSE)</f>
        <v>100</v>
      </c>
      <c r="K36" s="108">
        <f>VLOOKUP(D36,База!$A$4:$V$177,22,FALSE)</f>
        <v>175852</v>
      </c>
      <c r="L36" s="108">
        <f>VLOOKUP(D36,База!$A$4:$W$177,23,FALSE)</f>
        <v>175852</v>
      </c>
      <c r="M36" s="87">
        <f>VLOOKUP(D36,База!$A$4:$X$177,24,0)</f>
        <v>100</v>
      </c>
      <c r="N36" s="95"/>
    </row>
    <row r="37" spans="2:14" x14ac:dyDescent="0.25">
      <c r="B37" s="92"/>
      <c r="C37" s="93">
        <v>30</v>
      </c>
      <c r="D37" s="107" t="s">
        <v>175</v>
      </c>
      <c r="E37" s="108">
        <f>VLOOKUP(D37,База!$A$4:$X$177,7,0)</f>
        <v>464935</v>
      </c>
      <c r="F37" s="108">
        <f>VLOOKUP(D37,База!$A$4:$X$177,8,0)</f>
        <v>464935</v>
      </c>
      <c r="G37" s="87">
        <f>VLOOKUP(D37,База!$A$4:$O$177,15,FALSE)</f>
        <v>100</v>
      </c>
      <c r="H37" s="108">
        <f>VLOOKUP(D37,База!$A$4:$AE$177,31,FALSE)</f>
        <v>422730</v>
      </c>
      <c r="I37" s="108">
        <f>VLOOKUP(D37,База!$A$4:$AF$177,32,FALSE)</f>
        <v>422730</v>
      </c>
      <c r="J37" s="87">
        <f>VLOOKUP(D37,База!$A$4:$AG$177,33,FALSE)</f>
        <v>100</v>
      </c>
      <c r="K37" s="108">
        <f>VLOOKUP(D37,База!$A$4:$V$177,22,FALSE)</f>
        <v>170756</v>
      </c>
      <c r="L37" s="108">
        <f>VLOOKUP(D37,База!$A$4:$W$177,23,FALSE)</f>
        <v>170756</v>
      </c>
      <c r="M37" s="87">
        <f>VLOOKUP(D37,База!$A$4:$X$177,24,0)</f>
        <v>100</v>
      </c>
      <c r="N37" s="95"/>
    </row>
    <row r="38" spans="2:14" x14ac:dyDescent="0.25">
      <c r="B38" s="92"/>
      <c r="C38" s="93">
        <v>31</v>
      </c>
      <c r="D38" s="107" t="s">
        <v>178</v>
      </c>
      <c r="E38" s="108">
        <f>VLOOKUP(D38,База!$A$4:$X$177,7,0)</f>
        <v>190822</v>
      </c>
      <c r="F38" s="108">
        <f>VLOOKUP(D38,База!$A$4:$X$177,8,0)</f>
        <v>190822</v>
      </c>
      <c r="G38" s="87">
        <f>VLOOKUP(D38,База!$A$4:$O$177,15,FALSE)</f>
        <v>100</v>
      </c>
      <c r="H38" s="108">
        <f>VLOOKUP(D38,База!$A$4:$AE$177,31,FALSE)</f>
        <v>188675</v>
      </c>
      <c r="I38" s="108">
        <f>VLOOKUP(D38,База!$A$4:$AF$177,32,FALSE)</f>
        <v>188675</v>
      </c>
      <c r="J38" s="87">
        <f>VLOOKUP(D38,База!$A$4:$AG$177,33,FALSE)</f>
        <v>100</v>
      </c>
      <c r="K38" s="108">
        <f>VLOOKUP(D38,База!$A$4:$V$177,22,FALSE)</f>
        <v>169954</v>
      </c>
      <c r="L38" s="108">
        <f>VLOOKUP(D38,База!$A$4:$W$177,23,FALSE)</f>
        <v>169954</v>
      </c>
      <c r="M38" s="87">
        <f>VLOOKUP(D38,База!$A$4:$X$177,24,0)</f>
        <v>100</v>
      </c>
      <c r="N38" s="95"/>
    </row>
    <row r="39" spans="2:14" x14ac:dyDescent="0.25">
      <c r="B39" s="92"/>
      <c r="C39" s="93">
        <v>32</v>
      </c>
      <c r="D39" s="107" t="s">
        <v>180</v>
      </c>
      <c r="E39" s="108">
        <f>VLOOKUP(D39,База!$A$4:$X$177,7,0)</f>
        <v>179810</v>
      </c>
      <c r="F39" s="108">
        <f>VLOOKUP(D39,База!$A$4:$X$177,8,0)</f>
        <v>179810</v>
      </c>
      <c r="G39" s="87">
        <f>VLOOKUP(D39,База!$A$4:$O$177,15,FALSE)</f>
        <v>100</v>
      </c>
      <c r="H39" s="108">
        <f>VLOOKUP(D39,База!$A$4:$AE$177,31,FALSE)</f>
        <v>177936</v>
      </c>
      <c r="I39" s="108">
        <f>VLOOKUP(D39,База!$A$4:$AF$177,32,FALSE)</f>
        <v>177936</v>
      </c>
      <c r="J39" s="87">
        <f>VLOOKUP(D39,База!$A$4:$AG$177,33,FALSE)</f>
        <v>100</v>
      </c>
      <c r="K39" s="108">
        <f>VLOOKUP(D39,База!$A$4:$V$177,22,FALSE)</f>
        <v>165436</v>
      </c>
      <c r="L39" s="108">
        <f>VLOOKUP(D39,База!$A$4:$W$177,23,FALSE)</f>
        <v>165436</v>
      </c>
      <c r="M39" s="87">
        <f>VLOOKUP(D39,База!$A$4:$X$177,24,0)</f>
        <v>100</v>
      </c>
      <c r="N39" s="95"/>
    </row>
    <row r="40" spans="2:14" x14ac:dyDescent="0.25">
      <c r="B40" s="92"/>
      <c r="C40" s="93">
        <v>33</v>
      </c>
      <c r="D40" s="107" t="s">
        <v>135</v>
      </c>
      <c r="E40" s="108">
        <f>VLOOKUP(D40,База!$A$4:$X$177,7,0)</f>
        <v>296629</v>
      </c>
      <c r="F40" s="108">
        <f>VLOOKUP(D40,База!$A$4:$X$177,8,0)</f>
        <v>296629</v>
      </c>
      <c r="G40" s="87">
        <f>VLOOKUP(D40,База!$A$4:$O$177,15,FALSE)</f>
        <v>100</v>
      </c>
      <c r="H40" s="108">
        <f>VLOOKUP(D40,База!$A$4:$AE$177,31,FALSE)</f>
        <v>279883</v>
      </c>
      <c r="I40" s="108">
        <f>VLOOKUP(D40,База!$A$4:$AF$177,32,FALSE)</f>
        <v>279883</v>
      </c>
      <c r="J40" s="87">
        <f>VLOOKUP(D40,База!$A$4:$AG$177,33,FALSE)</f>
        <v>100</v>
      </c>
      <c r="K40" s="108">
        <f>VLOOKUP(D40,База!$A$4:$V$177,22,FALSE)</f>
        <v>156540</v>
      </c>
      <c r="L40" s="108">
        <f>VLOOKUP(D40,База!$A$4:$W$177,23,FALSE)</f>
        <v>156540</v>
      </c>
      <c r="M40" s="87">
        <f>VLOOKUP(D40,База!$A$4:$X$177,24,0)</f>
        <v>100</v>
      </c>
      <c r="N40" s="95"/>
    </row>
    <row r="41" spans="2:14" x14ac:dyDescent="0.25">
      <c r="B41" s="92"/>
      <c r="C41" s="93">
        <v>34</v>
      </c>
      <c r="D41" s="107" t="s">
        <v>166</v>
      </c>
      <c r="E41" s="108">
        <f>VLOOKUP(D41,База!$A$4:$X$177,7,0)</f>
        <v>292455</v>
      </c>
      <c r="F41" s="108">
        <f>VLOOKUP(D41,База!$A$4:$X$177,8,0)</f>
        <v>292455</v>
      </c>
      <c r="G41" s="87">
        <f>VLOOKUP(D41,База!$A$4:$O$177,15,FALSE)</f>
        <v>100</v>
      </c>
      <c r="H41" s="108">
        <f>VLOOKUP(D41,База!$A$4:$AE$177,31,FALSE)</f>
        <v>245553</v>
      </c>
      <c r="I41" s="108">
        <f>VLOOKUP(D41,База!$A$4:$AF$177,32,FALSE)</f>
        <v>245553</v>
      </c>
      <c r="J41" s="87">
        <f>VLOOKUP(D41,База!$A$4:$AG$177,33,FALSE)</f>
        <v>100</v>
      </c>
      <c r="K41" s="108">
        <f>VLOOKUP(D41,База!$A$4:$V$177,22,FALSE)</f>
        <v>151208</v>
      </c>
      <c r="L41" s="108">
        <f>VLOOKUP(D41,База!$A$4:$W$177,23,FALSE)</f>
        <v>151208</v>
      </c>
      <c r="M41" s="87">
        <f>VLOOKUP(D41,База!$A$4:$X$177,24,0)</f>
        <v>100</v>
      </c>
      <c r="N41" s="95"/>
    </row>
    <row r="42" spans="2:14" x14ac:dyDescent="0.25">
      <c r="B42" s="92"/>
      <c r="C42" s="93">
        <v>35</v>
      </c>
      <c r="D42" s="107" t="s">
        <v>111</v>
      </c>
      <c r="E42" s="108">
        <f>VLOOKUP(D42,База!$A$4:$X$177,7,0)</f>
        <v>205160</v>
      </c>
      <c r="F42" s="108">
        <f>VLOOKUP(D42,База!$A$4:$X$177,8,0)</f>
        <v>205160</v>
      </c>
      <c r="G42" s="87">
        <f>VLOOKUP(D42,База!$A$4:$O$177,15,FALSE)</f>
        <v>100</v>
      </c>
      <c r="H42" s="108">
        <f>VLOOKUP(D42,База!$A$4:$AE$177,31,FALSE)</f>
        <v>205160</v>
      </c>
      <c r="I42" s="108">
        <f>VLOOKUP(D42,База!$A$4:$AF$177,32,FALSE)</f>
        <v>205160</v>
      </c>
      <c r="J42" s="87">
        <f>VLOOKUP(D42,База!$A$4:$AG$177,33,FALSE)</f>
        <v>100</v>
      </c>
      <c r="K42" s="108">
        <f>VLOOKUP(D42,База!$A$4:$V$177,22,FALSE)</f>
        <v>146802</v>
      </c>
      <c r="L42" s="108">
        <f>VLOOKUP(D42,База!$A$4:$W$177,23,FALSE)</f>
        <v>146802</v>
      </c>
      <c r="M42" s="87">
        <f>VLOOKUP(D42,База!$A$4:$X$177,24,0)</f>
        <v>100</v>
      </c>
      <c r="N42" s="95"/>
    </row>
    <row r="43" spans="2:14" x14ac:dyDescent="0.25">
      <c r="B43" s="92"/>
      <c r="C43" s="93">
        <v>36</v>
      </c>
      <c r="D43" s="107" t="s">
        <v>147</v>
      </c>
      <c r="E43" s="108">
        <f>VLOOKUP(D43,База!$A$4:$X$177,7,0)</f>
        <v>166862</v>
      </c>
      <c r="F43" s="108">
        <f>VLOOKUP(D43,База!$A$4:$X$177,8,0)</f>
        <v>166862</v>
      </c>
      <c r="G43" s="87">
        <f>VLOOKUP(D43,База!$A$4:$O$177,15,FALSE)</f>
        <v>100</v>
      </c>
      <c r="H43" s="108">
        <f>VLOOKUP(D43,База!$A$4:$AE$177,31,FALSE)</f>
        <v>166862</v>
      </c>
      <c r="I43" s="108">
        <f>VLOOKUP(D43,База!$A$4:$AF$177,32,FALSE)</f>
        <v>166862</v>
      </c>
      <c r="J43" s="87">
        <f>VLOOKUP(D43,База!$A$4:$AG$177,33,FALSE)</f>
        <v>100</v>
      </c>
      <c r="K43" s="108">
        <f>VLOOKUP(D43,База!$A$4:$V$177,22,FALSE)</f>
        <v>143812</v>
      </c>
      <c r="L43" s="108">
        <f>VLOOKUP(D43,База!$A$4:$W$177,23,FALSE)</f>
        <v>143812</v>
      </c>
      <c r="M43" s="87">
        <f>VLOOKUP(D43,База!$A$4:$X$177,24,0)</f>
        <v>100</v>
      </c>
      <c r="N43" s="95"/>
    </row>
    <row r="44" spans="2:14" x14ac:dyDescent="0.25">
      <c r="B44" s="92"/>
      <c r="C44" s="93">
        <v>37</v>
      </c>
      <c r="D44" s="107" t="s">
        <v>154</v>
      </c>
      <c r="E44" s="108">
        <f>VLOOKUP(D44,База!$A$4:$X$177,7,0)</f>
        <v>148354</v>
      </c>
      <c r="F44" s="108">
        <f>VLOOKUP(D44,База!$A$4:$X$177,8,0)</f>
        <v>148354</v>
      </c>
      <c r="G44" s="87">
        <f>VLOOKUP(D44,База!$A$4:$O$177,15,FALSE)</f>
        <v>100</v>
      </c>
      <c r="H44" s="108">
        <f>VLOOKUP(D44,База!$A$4:$AE$177,31,FALSE)</f>
        <v>145858</v>
      </c>
      <c r="I44" s="108">
        <f>VLOOKUP(D44,База!$A$4:$AF$177,32,FALSE)</f>
        <v>145858</v>
      </c>
      <c r="J44" s="87">
        <f>VLOOKUP(D44,База!$A$4:$AG$177,33,FALSE)</f>
        <v>100</v>
      </c>
      <c r="K44" s="108">
        <f>VLOOKUP(D44,База!$A$4:$V$177,22,FALSE)</f>
        <v>138554</v>
      </c>
      <c r="L44" s="108">
        <f>VLOOKUP(D44,База!$A$4:$W$177,23,FALSE)</f>
        <v>138554</v>
      </c>
      <c r="M44" s="87">
        <f>VLOOKUP(D44,База!$A$4:$X$177,24,0)</f>
        <v>100</v>
      </c>
      <c r="N44" s="95"/>
    </row>
    <row r="45" spans="2:14" x14ac:dyDescent="0.25">
      <c r="B45" s="92"/>
      <c r="C45" s="93">
        <v>38</v>
      </c>
      <c r="D45" s="107" t="s">
        <v>174</v>
      </c>
      <c r="E45" s="108">
        <f>VLOOKUP(D45,База!$A$4:$X$177,7,0)</f>
        <v>219558</v>
      </c>
      <c r="F45" s="108">
        <f>VLOOKUP(D45,База!$A$4:$X$177,8,0)</f>
        <v>219558</v>
      </c>
      <c r="G45" s="87">
        <f>VLOOKUP(D45,База!$A$4:$O$177,15,FALSE)</f>
        <v>100</v>
      </c>
      <c r="H45" s="108">
        <f>VLOOKUP(D45,База!$A$4:$AE$177,31,FALSE)</f>
        <v>198032</v>
      </c>
      <c r="I45" s="108">
        <f>VLOOKUP(D45,База!$A$4:$AF$177,32,FALSE)</f>
        <v>198032</v>
      </c>
      <c r="J45" s="87">
        <f>VLOOKUP(D45,База!$A$4:$AG$177,33,FALSE)</f>
        <v>100</v>
      </c>
      <c r="K45" s="108">
        <f>VLOOKUP(D45,База!$A$4:$V$177,22,FALSE)</f>
        <v>137979</v>
      </c>
      <c r="L45" s="108">
        <f>VLOOKUP(D45,База!$A$4:$W$177,23,FALSE)</f>
        <v>137979</v>
      </c>
      <c r="M45" s="87">
        <f>VLOOKUP(D45,База!$A$4:$X$177,24,0)</f>
        <v>100</v>
      </c>
      <c r="N45" s="95"/>
    </row>
    <row r="46" spans="2:14" x14ac:dyDescent="0.25">
      <c r="B46" s="92"/>
      <c r="C46" s="93">
        <v>39</v>
      </c>
      <c r="D46" s="107" t="s">
        <v>275</v>
      </c>
      <c r="E46" s="108">
        <f>VLOOKUP(D46,База!$A$4:$X$177,7,0)</f>
        <v>220769</v>
      </c>
      <c r="F46" s="108">
        <f>VLOOKUP(D46,База!$A$4:$X$177,8,0)</f>
        <v>220769</v>
      </c>
      <c r="G46" s="87">
        <f>VLOOKUP(D46,База!$A$4:$O$177,15,FALSE)</f>
        <v>100</v>
      </c>
      <c r="H46" s="108">
        <f>VLOOKUP(D46,База!$A$4:$AE$177,31,FALSE)</f>
        <v>220769</v>
      </c>
      <c r="I46" s="108">
        <f>VLOOKUP(D46,База!$A$4:$AF$177,32,FALSE)</f>
        <v>220769</v>
      </c>
      <c r="J46" s="87">
        <f>VLOOKUP(D46,База!$A$4:$AG$177,33,FALSE)</f>
        <v>100</v>
      </c>
      <c r="K46" s="108">
        <f>VLOOKUP(D46,База!$A$4:$V$177,22,FALSE)</f>
        <v>127473</v>
      </c>
      <c r="L46" s="108">
        <f>VLOOKUP(D46,База!$A$4:$W$177,23,FALSE)</f>
        <v>127473</v>
      </c>
      <c r="M46" s="87">
        <f>VLOOKUP(D46,База!$A$4:$X$177,24,0)</f>
        <v>100</v>
      </c>
      <c r="N46" s="95"/>
    </row>
    <row r="47" spans="2:14" x14ac:dyDescent="0.25">
      <c r="B47" s="92"/>
      <c r="C47" s="93">
        <v>40</v>
      </c>
      <c r="D47" s="107" t="s">
        <v>186</v>
      </c>
      <c r="E47" s="108">
        <f>VLOOKUP(D47,База!$A$4:$X$177,7,0)</f>
        <v>188518</v>
      </c>
      <c r="F47" s="108">
        <f>VLOOKUP(D47,База!$A$4:$X$177,8,0)</f>
        <v>188518</v>
      </c>
      <c r="G47" s="87">
        <f>VLOOKUP(D47,База!$A$4:$O$177,15,FALSE)</f>
        <v>100</v>
      </c>
      <c r="H47" s="108">
        <f>VLOOKUP(D47,База!$A$4:$AE$177,31,FALSE)</f>
        <v>179789</v>
      </c>
      <c r="I47" s="108">
        <f>VLOOKUP(D47,База!$A$4:$AF$177,32,FALSE)</f>
        <v>179789</v>
      </c>
      <c r="J47" s="87">
        <f>VLOOKUP(D47,База!$A$4:$AG$177,33,FALSE)</f>
        <v>100</v>
      </c>
      <c r="K47" s="108">
        <f>VLOOKUP(D47,База!$A$4:$V$177,22,FALSE)</f>
        <v>123829</v>
      </c>
      <c r="L47" s="108">
        <f>VLOOKUP(D47,База!$A$4:$W$177,23,FALSE)</f>
        <v>123829</v>
      </c>
      <c r="M47" s="87">
        <f>VLOOKUP(D47,База!$A$4:$X$177,24,0)</f>
        <v>100</v>
      </c>
      <c r="N47" s="95"/>
    </row>
    <row r="48" spans="2:14" x14ac:dyDescent="0.25">
      <c r="B48" s="92"/>
      <c r="C48" s="93">
        <v>41</v>
      </c>
      <c r="D48" s="109" t="s">
        <v>128</v>
      </c>
      <c r="E48" s="108">
        <f>VLOOKUP(D48,База!$A$4:$X$177,7,0)</f>
        <v>160475</v>
      </c>
      <c r="F48" s="108">
        <f>VLOOKUP(D48,База!$A$4:$X$177,8,0)</f>
        <v>160475</v>
      </c>
      <c r="G48" s="87">
        <f>VLOOKUP(D48,База!$A$4:$O$177,15,FALSE)</f>
        <v>100</v>
      </c>
      <c r="H48" s="108">
        <f>VLOOKUP(D48,База!$A$4:$AE$177,31,FALSE)</f>
        <v>158052</v>
      </c>
      <c r="I48" s="108">
        <f>VLOOKUP(D48,База!$A$4:$AF$177,32,FALSE)</f>
        <v>158052</v>
      </c>
      <c r="J48" s="87">
        <f>VLOOKUP(D48,База!$A$4:$AG$177,33,FALSE)</f>
        <v>100</v>
      </c>
      <c r="K48" s="108">
        <f>VLOOKUP(D48,База!$A$4:$V$177,22,FALSE)</f>
        <v>123562</v>
      </c>
      <c r="L48" s="108">
        <f>VLOOKUP(D48,База!$A$4:$W$177,23,FALSE)</f>
        <v>123562</v>
      </c>
      <c r="M48" s="87">
        <f>VLOOKUP(D48,База!$A$4:$X$177,24,0)</f>
        <v>100</v>
      </c>
      <c r="N48" s="95"/>
    </row>
    <row r="49" spans="2:14" x14ac:dyDescent="0.25">
      <c r="B49" s="92"/>
      <c r="C49" s="93">
        <v>42</v>
      </c>
      <c r="D49" s="107" t="s">
        <v>204</v>
      </c>
      <c r="E49" s="108">
        <f>VLOOKUP(D49,База!$A$4:$X$177,7,0)</f>
        <v>165648</v>
      </c>
      <c r="F49" s="108">
        <f>VLOOKUP(D49,База!$A$4:$X$177,8,0)</f>
        <v>165648</v>
      </c>
      <c r="G49" s="87">
        <f>VLOOKUP(D49,База!$A$4:$O$177,15,FALSE)</f>
        <v>100</v>
      </c>
      <c r="H49" s="108">
        <f>VLOOKUP(D49,База!$A$4:$AE$177,31,FALSE)</f>
        <v>160271</v>
      </c>
      <c r="I49" s="108">
        <f>VLOOKUP(D49,База!$A$4:$AF$177,32,FALSE)</f>
        <v>160271</v>
      </c>
      <c r="J49" s="87">
        <f>VLOOKUP(D49,База!$A$4:$AG$177,33,FALSE)</f>
        <v>100</v>
      </c>
      <c r="K49" s="108">
        <f>VLOOKUP(D49,База!$A$4:$V$177,22,FALSE)</f>
        <v>122136</v>
      </c>
      <c r="L49" s="108">
        <f>VLOOKUP(D49,База!$A$4:$W$177,23,FALSE)</f>
        <v>122136</v>
      </c>
      <c r="M49" s="87">
        <f>VLOOKUP(D49,База!$A$4:$X$177,24,0)</f>
        <v>100</v>
      </c>
      <c r="N49" s="95"/>
    </row>
    <row r="50" spans="2:14" x14ac:dyDescent="0.25">
      <c r="B50" s="92"/>
      <c r="C50" s="93">
        <v>43</v>
      </c>
      <c r="D50" s="107" t="s">
        <v>276</v>
      </c>
      <c r="E50" s="108">
        <f>VLOOKUP(D50,База!$A$4:$X$177,7,0)</f>
        <v>190250</v>
      </c>
      <c r="F50" s="108">
        <f>VLOOKUP(D50,База!$A$4:$X$177,8,0)</f>
        <v>190250</v>
      </c>
      <c r="G50" s="87">
        <f>VLOOKUP(D50,База!$A$4:$O$177,15,FALSE)</f>
        <v>100</v>
      </c>
      <c r="H50" s="108">
        <f>VLOOKUP(D50,База!$A$4:$AE$177,31,FALSE)</f>
        <v>181842</v>
      </c>
      <c r="I50" s="108">
        <f>VLOOKUP(D50,База!$A$4:$AF$177,32,FALSE)</f>
        <v>181842</v>
      </c>
      <c r="J50" s="87">
        <f>VLOOKUP(D50,База!$A$4:$AG$177,33,FALSE)</f>
        <v>100</v>
      </c>
      <c r="K50" s="108">
        <f>VLOOKUP(D50,База!$A$4:$V$177,22,FALSE)</f>
        <v>117855</v>
      </c>
      <c r="L50" s="108">
        <f>VLOOKUP(D50,База!$A$4:$W$177,23,FALSE)</f>
        <v>117855</v>
      </c>
      <c r="M50" s="87">
        <f>VLOOKUP(D50,База!$A$4:$X$177,24,0)</f>
        <v>100</v>
      </c>
      <c r="N50" s="95"/>
    </row>
    <row r="51" spans="2:14" x14ac:dyDescent="0.25">
      <c r="B51" s="92"/>
      <c r="C51" s="93">
        <v>44</v>
      </c>
      <c r="D51" s="107" t="s">
        <v>113</v>
      </c>
      <c r="E51" s="108">
        <f>VLOOKUP(D51,База!$A$4:$X$177,7,0)</f>
        <v>180752</v>
      </c>
      <c r="F51" s="108">
        <f>VLOOKUP(D51,База!$A$4:$X$177,8,0)</f>
        <v>180752</v>
      </c>
      <c r="G51" s="87">
        <f>VLOOKUP(D51,База!$A$4:$O$177,15,FALSE)</f>
        <v>100</v>
      </c>
      <c r="H51" s="108">
        <f>VLOOKUP(D51,База!$A$4:$AE$177,31,FALSE)</f>
        <v>167739</v>
      </c>
      <c r="I51" s="108">
        <f>VLOOKUP(D51,База!$A$4:$AF$177,32,FALSE)</f>
        <v>167739</v>
      </c>
      <c r="J51" s="87">
        <f>VLOOKUP(D51,База!$A$4:$AG$177,33,FALSE)</f>
        <v>100</v>
      </c>
      <c r="K51" s="108">
        <f>VLOOKUP(D51,База!$A$4:$V$177,22,FALSE)</f>
        <v>113859</v>
      </c>
      <c r="L51" s="108">
        <f>VLOOKUP(D51,База!$A$4:$W$177,23,FALSE)</f>
        <v>113859</v>
      </c>
      <c r="M51" s="87">
        <f>VLOOKUP(D51,База!$A$4:$X$177,24,0)</f>
        <v>100</v>
      </c>
      <c r="N51" s="95"/>
    </row>
    <row r="52" spans="2:14" x14ac:dyDescent="0.25">
      <c r="B52" s="92"/>
      <c r="C52" s="93">
        <v>45</v>
      </c>
      <c r="D52" s="107" t="s">
        <v>323</v>
      </c>
      <c r="E52" s="108">
        <f>VLOOKUP(D52,База!$A$4:$X$177,7,0)</f>
        <v>216567</v>
      </c>
      <c r="F52" s="108">
        <f>VLOOKUP(D52,База!$A$4:$X$177,8,0)</f>
        <v>216567</v>
      </c>
      <c r="G52" s="87">
        <f>VLOOKUP(D52,База!$A$4:$O$177,15,FALSE)</f>
        <v>100</v>
      </c>
      <c r="H52" s="108">
        <f>VLOOKUP(D52,База!$A$4:$AE$177,31,FALSE)</f>
        <v>189553</v>
      </c>
      <c r="I52" s="108">
        <f>VLOOKUP(D52,База!$A$4:$AF$177,32,FALSE)</f>
        <v>189553</v>
      </c>
      <c r="J52" s="87">
        <f>VLOOKUP(D52,База!$A$4:$AG$177,33,FALSE)</f>
        <v>100</v>
      </c>
      <c r="K52" s="108">
        <f>VLOOKUP(D52,База!$A$4:$V$177,22,FALSE)</f>
        <v>113713</v>
      </c>
      <c r="L52" s="108">
        <f>VLOOKUP(D52,База!$A$4:$W$177,23,FALSE)</f>
        <v>113713</v>
      </c>
      <c r="M52" s="87">
        <f>VLOOKUP(D52,База!$A$4:$X$177,24,0)</f>
        <v>100</v>
      </c>
      <c r="N52" s="95"/>
    </row>
    <row r="53" spans="2:14" x14ac:dyDescent="0.25">
      <c r="B53" s="92"/>
      <c r="C53" s="93">
        <v>46</v>
      </c>
      <c r="D53" s="107" t="s">
        <v>279</v>
      </c>
      <c r="E53" s="108">
        <f>VLOOKUP(D53,База!$A$4:$X$177,7,0)</f>
        <v>166687</v>
      </c>
      <c r="F53" s="108">
        <f>VLOOKUP(D53,База!$A$4:$X$177,8,0)</f>
        <v>166687</v>
      </c>
      <c r="G53" s="87">
        <f>VLOOKUP(D53,База!$A$4:$O$177,15,FALSE)</f>
        <v>100</v>
      </c>
      <c r="H53" s="108">
        <f>VLOOKUP(D53,База!$A$4:$AE$177,31,FALSE)</f>
        <v>164397</v>
      </c>
      <c r="I53" s="108">
        <f>VLOOKUP(D53,База!$A$4:$AF$177,32,FALSE)</f>
        <v>164397</v>
      </c>
      <c r="J53" s="87">
        <f>VLOOKUP(D53,База!$A$4:$AG$177,33,FALSE)</f>
        <v>100</v>
      </c>
      <c r="K53" s="108">
        <f>VLOOKUP(D53,База!$A$4:$V$177,22,FALSE)</f>
        <v>112579</v>
      </c>
      <c r="L53" s="108">
        <f>VLOOKUP(D53,База!$A$4:$W$177,23,FALSE)</f>
        <v>112579</v>
      </c>
      <c r="M53" s="87">
        <f>VLOOKUP(D53,База!$A$4:$X$177,24,0)</f>
        <v>100</v>
      </c>
      <c r="N53" s="95"/>
    </row>
    <row r="54" spans="2:14" x14ac:dyDescent="0.25">
      <c r="B54" s="92"/>
      <c r="C54" s="93">
        <v>47</v>
      </c>
      <c r="D54" s="107" t="s">
        <v>152</v>
      </c>
      <c r="E54" s="108">
        <f>VLOOKUP(D54,База!$A$4:$X$177,7,0)</f>
        <v>121218</v>
      </c>
      <c r="F54" s="108">
        <f>VLOOKUP(D54,База!$A$4:$X$177,8,0)</f>
        <v>121218</v>
      </c>
      <c r="G54" s="87">
        <f>VLOOKUP(D54,База!$A$4:$O$177,15,FALSE)</f>
        <v>100</v>
      </c>
      <c r="H54" s="108">
        <f>VLOOKUP(D54,База!$A$4:$AE$177,31,FALSE)</f>
        <v>121218</v>
      </c>
      <c r="I54" s="108">
        <f>VLOOKUP(D54,База!$A$4:$AF$177,32,FALSE)</f>
        <v>121218</v>
      </c>
      <c r="J54" s="87">
        <f>VLOOKUP(D54,База!$A$4:$AG$177,33,FALSE)</f>
        <v>100</v>
      </c>
      <c r="K54" s="108">
        <f>VLOOKUP(D54,База!$A$4:$V$177,22,FALSE)</f>
        <v>108003</v>
      </c>
      <c r="L54" s="108">
        <f>VLOOKUP(D54,База!$A$4:$W$177,23,FALSE)</f>
        <v>108003</v>
      </c>
      <c r="M54" s="87">
        <f>VLOOKUP(D54,База!$A$4:$X$177,24,0)</f>
        <v>100</v>
      </c>
      <c r="N54" s="95"/>
    </row>
    <row r="55" spans="2:14" x14ac:dyDescent="0.25">
      <c r="B55" s="92"/>
      <c r="C55" s="93">
        <v>48</v>
      </c>
      <c r="D55" s="107" t="s">
        <v>125</v>
      </c>
      <c r="E55" s="108">
        <f>VLOOKUP(D55,База!$A$4:$X$177,7,0)</f>
        <v>158633</v>
      </c>
      <c r="F55" s="108">
        <f>VLOOKUP(D55,База!$A$4:$X$177,8,0)</f>
        <v>158633</v>
      </c>
      <c r="G55" s="87">
        <f>VLOOKUP(D55,База!$A$4:$O$177,15,FALSE)</f>
        <v>100</v>
      </c>
      <c r="H55" s="108">
        <f>VLOOKUP(D55,База!$A$4:$AE$177,31,FALSE)</f>
        <v>150358</v>
      </c>
      <c r="I55" s="108">
        <f>VLOOKUP(D55,База!$A$4:$AF$177,32,FALSE)</f>
        <v>150358</v>
      </c>
      <c r="J55" s="87">
        <f>VLOOKUP(D55,База!$A$4:$AG$177,33,FALSE)</f>
        <v>100</v>
      </c>
      <c r="K55" s="108">
        <f>VLOOKUP(D55,База!$A$4:$V$177,22,FALSE)</f>
        <v>107259</v>
      </c>
      <c r="L55" s="108">
        <f>VLOOKUP(D55,База!$A$4:$W$177,23,FALSE)</f>
        <v>107259</v>
      </c>
      <c r="M55" s="87">
        <f>VLOOKUP(D55,База!$A$4:$X$177,24,0)</f>
        <v>100</v>
      </c>
      <c r="N55" s="95"/>
    </row>
    <row r="56" spans="2:14" x14ac:dyDescent="0.25">
      <c r="B56" s="92"/>
      <c r="C56" s="93">
        <v>49</v>
      </c>
      <c r="D56" s="107" t="s">
        <v>27</v>
      </c>
      <c r="E56" s="108">
        <f>VLOOKUP(D56,База!$A$4:$X$177,7,0)</f>
        <v>129245</v>
      </c>
      <c r="F56" s="108">
        <f>VLOOKUP(D56,База!$A$4:$X$177,8,0)</f>
        <v>129245</v>
      </c>
      <c r="G56" s="87">
        <f>VLOOKUP(D56,База!$A$4:$O$177,15,FALSE)</f>
        <v>100</v>
      </c>
      <c r="H56" s="108">
        <f>VLOOKUP(D56,База!$A$4:$AE$177,31,FALSE)</f>
        <v>128761</v>
      </c>
      <c r="I56" s="108">
        <f>VLOOKUP(D56,База!$A$4:$AF$177,32,FALSE)</f>
        <v>128761</v>
      </c>
      <c r="J56" s="87">
        <f>VLOOKUP(D56,База!$A$4:$AG$177,33,FALSE)</f>
        <v>100</v>
      </c>
      <c r="K56" s="108">
        <f>VLOOKUP(D56,База!$A$4:$V$177,22,FALSE)</f>
        <v>104729</v>
      </c>
      <c r="L56" s="108">
        <f>VLOOKUP(D56,База!$A$4:$W$177,23,FALSE)</f>
        <v>104729</v>
      </c>
      <c r="M56" s="87">
        <f>VLOOKUP(D56,База!$A$4:$X$177,24,0)</f>
        <v>100</v>
      </c>
      <c r="N56" s="95"/>
    </row>
    <row r="57" spans="2:14" x14ac:dyDescent="0.25">
      <c r="B57" s="92"/>
      <c r="C57" s="93">
        <v>50</v>
      </c>
      <c r="D57" s="107" t="s">
        <v>121</v>
      </c>
      <c r="E57" s="108">
        <f>VLOOKUP(D57,База!$A$4:$X$177,7,0)</f>
        <v>232535</v>
      </c>
      <c r="F57" s="108">
        <f>VLOOKUP(D57,База!$A$4:$X$177,8,0)</f>
        <v>232535</v>
      </c>
      <c r="G57" s="87">
        <f>VLOOKUP(D57,База!$A$4:$O$177,15,FALSE)</f>
        <v>100</v>
      </c>
      <c r="H57" s="108">
        <f>VLOOKUP(D57,База!$A$4:$AE$177,31,FALSE)</f>
        <v>174512</v>
      </c>
      <c r="I57" s="108">
        <f>VLOOKUP(D57,База!$A$4:$AF$177,32,FALSE)</f>
        <v>174512</v>
      </c>
      <c r="J57" s="87">
        <f>VLOOKUP(D57,База!$A$4:$AG$177,33,FALSE)</f>
        <v>100</v>
      </c>
      <c r="K57" s="108">
        <f>VLOOKUP(D57,База!$A$4:$V$177,22,FALSE)</f>
        <v>96627</v>
      </c>
      <c r="L57" s="108">
        <f>VLOOKUP(D57,База!$A$4:$W$177,23,FALSE)</f>
        <v>96627</v>
      </c>
      <c r="M57" s="87">
        <f>VLOOKUP(D57,База!$A$4:$X$177,24,0)</f>
        <v>100</v>
      </c>
      <c r="N57" s="95"/>
    </row>
    <row r="58" spans="2:14" x14ac:dyDescent="0.25">
      <c r="B58" s="92"/>
      <c r="C58" s="93">
        <v>51</v>
      </c>
      <c r="D58" s="107" t="s">
        <v>179</v>
      </c>
      <c r="E58" s="108">
        <f>VLOOKUP(D58,База!$A$4:$X$177,7,0)</f>
        <v>104531</v>
      </c>
      <c r="F58" s="108">
        <f>VLOOKUP(D58,База!$A$4:$X$177,8,0)</f>
        <v>104531</v>
      </c>
      <c r="G58" s="87">
        <f>VLOOKUP(D58,База!$A$4:$O$177,15,FALSE)</f>
        <v>100</v>
      </c>
      <c r="H58" s="108">
        <f>VLOOKUP(D58,База!$A$4:$AE$177,31,FALSE)</f>
        <v>101373</v>
      </c>
      <c r="I58" s="108">
        <f>VLOOKUP(D58,База!$A$4:$AF$177,32,FALSE)</f>
        <v>101373</v>
      </c>
      <c r="J58" s="87">
        <f>VLOOKUP(D58,База!$A$4:$AG$177,33,FALSE)</f>
        <v>100</v>
      </c>
      <c r="K58" s="108">
        <f>VLOOKUP(D58,База!$A$4:$V$177,22,FALSE)</f>
        <v>94848</v>
      </c>
      <c r="L58" s="108">
        <f>VLOOKUP(D58,База!$A$4:$W$177,23,FALSE)</f>
        <v>94848</v>
      </c>
      <c r="M58" s="87">
        <f>VLOOKUP(D58,База!$A$4:$X$177,24,0)</f>
        <v>100</v>
      </c>
      <c r="N58" s="95"/>
    </row>
    <row r="59" spans="2:14" x14ac:dyDescent="0.25">
      <c r="B59" s="92"/>
      <c r="C59" s="93">
        <v>52</v>
      </c>
      <c r="D59" s="107" t="s">
        <v>277</v>
      </c>
      <c r="E59" s="108">
        <f>VLOOKUP(D59,База!$A$4:$X$177,7,0)</f>
        <v>183025</v>
      </c>
      <c r="F59" s="108">
        <f>VLOOKUP(D59,База!$A$4:$X$177,8,0)</f>
        <v>183025</v>
      </c>
      <c r="G59" s="87">
        <f>VLOOKUP(D59,База!$A$4:$O$177,15,FALSE)</f>
        <v>100</v>
      </c>
      <c r="H59" s="108">
        <f>VLOOKUP(D59,База!$A$4:$AE$177,31,FALSE)</f>
        <v>143302</v>
      </c>
      <c r="I59" s="108">
        <f>VLOOKUP(D59,База!$A$4:$AF$177,32,FALSE)</f>
        <v>143302</v>
      </c>
      <c r="J59" s="87">
        <f>VLOOKUP(D59,База!$A$4:$AG$177,33,FALSE)</f>
        <v>100</v>
      </c>
      <c r="K59" s="108">
        <f>VLOOKUP(D59,База!$A$4:$V$177,22,FALSE)</f>
        <v>94248</v>
      </c>
      <c r="L59" s="108">
        <f>VLOOKUP(D59,База!$A$4:$W$177,23,FALSE)</f>
        <v>94248</v>
      </c>
      <c r="M59" s="87">
        <f>VLOOKUP(D59,База!$A$4:$X$177,24,0)</f>
        <v>100</v>
      </c>
      <c r="N59" s="95"/>
    </row>
    <row r="60" spans="2:14" x14ac:dyDescent="0.25">
      <c r="B60" s="92"/>
      <c r="C60" s="93">
        <v>53</v>
      </c>
      <c r="D60" s="107" t="s">
        <v>273</v>
      </c>
      <c r="E60" s="108">
        <f>VLOOKUP(D60,База!$A$4:$X$177,7,0)</f>
        <v>245570</v>
      </c>
      <c r="F60" s="108">
        <f>VLOOKUP(D60,База!$A$4:$X$177,8,0)</f>
        <v>245570</v>
      </c>
      <c r="G60" s="87">
        <f>VLOOKUP(D60,База!$A$4:$O$177,15,FALSE)</f>
        <v>100</v>
      </c>
      <c r="H60" s="108">
        <f>VLOOKUP(D60,База!$A$4:$AE$177,31,FALSE)</f>
        <v>146111</v>
      </c>
      <c r="I60" s="108">
        <f>VLOOKUP(D60,База!$A$4:$AF$177,32,FALSE)</f>
        <v>146111</v>
      </c>
      <c r="J60" s="87">
        <f>VLOOKUP(D60,База!$A$4:$AG$177,33,FALSE)</f>
        <v>100</v>
      </c>
      <c r="K60" s="108">
        <f>VLOOKUP(D60,База!$A$4:$V$177,22,FALSE)</f>
        <v>92384</v>
      </c>
      <c r="L60" s="108">
        <f>VLOOKUP(D60,База!$A$4:$W$177,23,FALSE)</f>
        <v>92384</v>
      </c>
      <c r="M60" s="87">
        <f>VLOOKUP(D60,База!$A$4:$X$177,24,0)</f>
        <v>100</v>
      </c>
      <c r="N60" s="95"/>
    </row>
    <row r="61" spans="2:14" x14ac:dyDescent="0.25">
      <c r="B61" s="92"/>
      <c r="C61" s="93">
        <v>54</v>
      </c>
      <c r="D61" s="107" t="s">
        <v>194</v>
      </c>
      <c r="E61" s="108">
        <f>VLOOKUP(D61,База!$A$4:$X$177,7,0)</f>
        <v>129249</v>
      </c>
      <c r="F61" s="108">
        <f>VLOOKUP(D61,База!$A$4:$X$177,8,0)</f>
        <v>129249</v>
      </c>
      <c r="G61" s="87">
        <f>VLOOKUP(D61,База!$A$4:$O$177,15,FALSE)</f>
        <v>100</v>
      </c>
      <c r="H61" s="108">
        <f>VLOOKUP(D61,База!$A$4:$AE$177,31,FALSE)</f>
        <v>125166</v>
      </c>
      <c r="I61" s="108">
        <f>VLOOKUP(D61,База!$A$4:$AF$177,32,FALSE)</f>
        <v>125166</v>
      </c>
      <c r="J61" s="87">
        <f>VLOOKUP(D61,База!$A$4:$AG$177,33,FALSE)</f>
        <v>100</v>
      </c>
      <c r="K61" s="108">
        <f>VLOOKUP(D61,База!$A$4:$V$177,22,FALSE)</f>
        <v>90657</v>
      </c>
      <c r="L61" s="108">
        <f>VLOOKUP(D61,База!$A$4:$W$177,23,FALSE)</f>
        <v>90657</v>
      </c>
      <c r="M61" s="87">
        <f>VLOOKUP(D61,База!$A$4:$X$177,24,0)</f>
        <v>100</v>
      </c>
      <c r="N61" s="95"/>
    </row>
    <row r="62" spans="2:14" x14ac:dyDescent="0.25">
      <c r="B62" s="92"/>
      <c r="C62" s="93">
        <v>55</v>
      </c>
      <c r="D62" s="107" t="s">
        <v>156</v>
      </c>
      <c r="E62" s="108">
        <f>VLOOKUP(D62,База!$A$4:$X$177,7,0)</f>
        <v>146346</v>
      </c>
      <c r="F62" s="108">
        <f>VLOOKUP(D62,База!$A$4:$X$177,8,0)</f>
        <v>146346</v>
      </c>
      <c r="G62" s="87">
        <f>VLOOKUP(D62,База!$A$4:$O$177,15,FALSE)</f>
        <v>100</v>
      </c>
      <c r="H62" s="108">
        <f>VLOOKUP(D62,База!$A$4:$AE$177,31,FALSE)</f>
        <v>142210</v>
      </c>
      <c r="I62" s="108">
        <f>VLOOKUP(D62,База!$A$4:$AF$177,32,FALSE)</f>
        <v>142210</v>
      </c>
      <c r="J62" s="87">
        <f>VLOOKUP(D62,База!$A$4:$AG$177,33,FALSE)</f>
        <v>100</v>
      </c>
      <c r="K62" s="108">
        <f>VLOOKUP(D62,База!$A$4:$V$177,22,FALSE)</f>
        <v>89052</v>
      </c>
      <c r="L62" s="108">
        <f>VLOOKUP(D62,База!$A$4:$W$177,23,FALSE)</f>
        <v>89052</v>
      </c>
      <c r="M62" s="87">
        <f>VLOOKUP(D62,База!$A$4:$X$177,24,0)</f>
        <v>100</v>
      </c>
      <c r="N62" s="95"/>
    </row>
    <row r="63" spans="2:14" x14ac:dyDescent="0.25">
      <c r="B63" s="92"/>
      <c r="C63" s="93">
        <v>56</v>
      </c>
      <c r="D63" s="107" t="s">
        <v>195</v>
      </c>
      <c r="E63" s="108">
        <f>VLOOKUP(D63,База!$A$4:$X$177,7,0)</f>
        <v>142063</v>
      </c>
      <c r="F63" s="108">
        <f>VLOOKUP(D63,База!$A$4:$X$177,8,0)</f>
        <v>142063</v>
      </c>
      <c r="G63" s="87">
        <f>VLOOKUP(D63,База!$A$4:$O$177,15,FALSE)</f>
        <v>100</v>
      </c>
      <c r="H63" s="108">
        <f>VLOOKUP(D63,База!$A$4:$AE$177,31,FALSE)</f>
        <v>137330</v>
      </c>
      <c r="I63" s="108">
        <f>VLOOKUP(D63,База!$A$4:$AF$177,32,FALSE)</f>
        <v>137330</v>
      </c>
      <c r="J63" s="87">
        <f>VLOOKUP(D63,База!$A$4:$AG$177,33,FALSE)</f>
        <v>100</v>
      </c>
      <c r="K63" s="108">
        <f>VLOOKUP(D63,База!$A$4:$V$177,22,FALSE)</f>
        <v>88528</v>
      </c>
      <c r="L63" s="108">
        <f>VLOOKUP(D63,База!$A$4:$W$177,23,FALSE)</f>
        <v>88528</v>
      </c>
      <c r="M63" s="87">
        <f>VLOOKUP(D63,База!$A$4:$X$177,24,0)</f>
        <v>100</v>
      </c>
      <c r="N63" s="95"/>
    </row>
    <row r="64" spans="2:14" x14ac:dyDescent="0.25">
      <c r="B64" s="92"/>
      <c r="C64" s="93">
        <v>57</v>
      </c>
      <c r="D64" s="107" t="s">
        <v>201</v>
      </c>
      <c r="E64" s="108">
        <f>VLOOKUP(D64,База!$A$4:$X$177,7,0)</f>
        <v>130326</v>
      </c>
      <c r="F64" s="108">
        <f>VLOOKUP(D64,База!$A$4:$X$177,8,0)</f>
        <v>130326</v>
      </c>
      <c r="G64" s="87">
        <f>VLOOKUP(D64,База!$A$4:$O$177,15,FALSE)</f>
        <v>100</v>
      </c>
      <c r="H64" s="108">
        <f>VLOOKUP(D64,База!$A$4:$AE$177,31,FALSE)</f>
        <v>130156</v>
      </c>
      <c r="I64" s="108">
        <f>VLOOKUP(D64,База!$A$4:$AF$177,32,FALSE)</f>
        <v>130156</v>
      </c>
      <c r="J64" s="87">
        <f>VLOOKUP(D64,База!$A$4:$AG$177,33,FALSE)</f>
        <v>100</v>
      </c>
      <c r="K64" s="108">
        <f>VLOOKUP(D64,База!$A$4:$V$177,22,FALSE)</f>
        <v>86120</v>
      </c>
      <c r="L64" s="108">
        <f>VLOOKUP(D64,База!$A$4:$W$177,23,FALSE)</f>
        <v>86120</v>
      </c>
      <c r="M64" s="87">
        <f>VLOOKUP(D64,База!$A$4:$X$177,24,0)</f>
        <v>100</v>
      </c>
      <c r="N64" s="95"/>
    </row>
    <row r="65" spans="2:14" x14ac:dyDescent="0.25">
      <c r="B65" s="92"/>
      <c r="C65" s="93">
        <v>58</v>
      </c>
      <c r="D65" s="107" t="s">
        <v>189</v>
      </c>
      <c r="E65" s="108">
        <f>VLOOKUP(D65,База!$A$4:$X$177,7,0)</f>
        <v>112576</v>
      </c>
      <c r="F65" s="108">
        <f>VLOOKUP(D65,База!$A$4:$X$177,8,0)</f>
        <v>112576</v>
      </c>
      <c r="G65" s="87">
        <f>VLOOKUP(D65,База!$A$4:$O$177,15,FALSE)</f>
        <v>100</v>
      </c>
      <c r="H65" s="108">
        <f>VLOOKUP(D65,База!$A$4:$AE$177,31,FALSE)</f>
        <v>112159</v>
      </c>
      <c r="I65" s="108">
        <f>VLOOKUP(D65,База!$A$4:$AF$177,32,FALSE)</f>
        <v>112159</v>
      </c>
      <c r="J65" s="87">
        <f>VLOOKUP(D65,База!$A$4:$AG$177,33,FALSE)</f>
        <v>100</v>
      </c>
      <c r="K65" s="108">
        <f>VLOOKUP(D65,База!$A$4:$V$177,22,FALSE)</f>
        <v>85956</v>
      </c>
      <c r="L65" s="108">
        <f>VLOOKUP(D65,База!$A$4:$W$177,23,FALSE)</f>
        <v>85956</v>
      </c>
      <c r="M65" s="87">
        <f>VLOOKUP(D65,База!$A$4:$X$177,24,0)</f>
        <v>100</v>
      </c>
      <c r="N65" s="95"/>
    </row>
    <row r="66" spans="2:14" x14ac:dyDescent="0.25">
      <c r="B66" s="92"/>
      <c r="C66" s="93">
        <v>59</v>
      </c>
      <c r="D66" s="107" t="s">
        <v>187</v>
      </c>
      <c r="E66" s="108">
        <f>VLOOKUP(D66,База!$A$4:$X$177,7,0)</f>
        <v>131816</v>
      </c>
      <c r="F66" s="108">
        <f>VLOOKUP(D66,База!$A$4:$X$177,8,0)</f>
        <v>131816</v>
      </c>
      <c r="G66" s="87">
        <f>VLOOKUP(D66,База!$A$4:$O$177,15,FALSE)</f>
        <v>100</v>
      </c>
      <c r="H66" s="108">
        <f>VLOOKUP(D66,База!$A$4:$AE$177,31,FALSE)</f>
        <v>122115</v>
      </c>
      <c r="I66" s="108">
        <f>VLOOKUP(D66,База!$A$4:$AF$177,32,FALSE)</f>
        <v>122115</v>
      </c>
      <c r="J66" s="87">
        <f>VLOOKUP(D66,База!$A$4:$AG$177,33,FALSE)</f>
        <v>100</v>
      </c>
      <c r="K66" s="108">
        <f>VLOOKUP(D66,База!$A$4:$V$177,22,FALSE)</f>
        <v>85255</v>
      </c>
      <c r="L66" s="108">
        <f>VLOOKUP(D66,База!$A$4:$W$177,23,FALSE)</f>
        <v>85255</v>
      </c>
      <c r="M66" s="87">
        <f>VLOOKUP(D66,База!$A$4:$X$177,24,0)</f>
        <v>100</v>
      </c>
      <c r="N66" s="95"/>
    </row>
    <row r="67" spans="2:14" x14ac:dyDescent="0.25">
      <c r="B67" s="92"/>
      <c r="C67" s="93">
        <v>60</v>
      </c>
      <c r="D67" s="107" t="s">
        <v>280</v>
      </c>
      <c r="E67" s="108">
        <f>VLOOKUP(D67,База!$A$4:$X$177,7,0)</f>
        <v>162293</v>
      </c>
      <c r="F67" s="108">
        <f>VLOOKUP(D67,База!$A$4:$X$177,8,0)</f>
        <v>162293</v>
      </c>
      <c r="G67" s="87">
        <f>VLOOKUP(D67,База!$A$4:$O$177,15,FALSE)</f>
        <v>100</v>
      </c>
      <c r="H67" s="108">
        <f>VLOOKUP(D67,База!$A$4:$AE$177,31,FALSE)</f>
        <v>144526</v>
      </c>
      <c r="I67" s="108">
        <f>VLOOKUP(D67,База!$A$4:$AF$177,32,FALSE)</f>
        <v>144526</v>
      </c>
      <c r="J67" s="87">
        <f>VLOOKUP(D67,База!$A$4:$AG$177,33,FALSE)</f>
        <v>100</v>
      </c>
      <c r="K67" s="108">
        <f>VLOOKUP(D67,База!$A$4:$V$177,22,FALSE)</f>
        <v>83788</v>
      </c>
      <c r="L67" s="108">
        <f>VLOOKUP(D67,База!$A$4:$W$177,23,FALSE)</f>
        <v>83788</v>
      </c>
      <c r="M67" s="87">
        <f>VLOOKUP(D67,База!$A$4:$X$177,24,0)</f>
        <v>100</v>
      </c>
      <c r="N67" s="95"/>
    </row>
    <row r="68" spans="2:14" x14ac:dyDescent="0.25">
      <c r="B68" s="92"/>
      <c r="C68" s="93">
        <v>61</v>
      </c>
      <c r="D68" s="107" t="s">
        <v>131</v>
      </c>
      <c r="E68" s="108">
        <f>VLOOKUP(D68,База!$A$4:$X$177,7,0)</f>
        <v>142505</v>
      </c>
      <c r="F68" s="108">
        <f>VLOOKUP(D68,База!$A$4:$X$177,8,0)</f>
        <v>142505</v>
      </c>
      <c r="G68" s="87">
        <f>VLOOKUP(D68,База!$A$4:$O$177,15,FALSE)</f>
        <v>100</v>
      </c>
      <c r="H68" s="108">
        <f>VLOOKUP(D68,База!$A$4:$AE$177,31,FALSE)</f>
        <v>142505</v>
      </c>
      <c r="I68" s="108">
        <f>VLOOKUP(D68,База!$A$4:$AF$177,32,FALSE)</f>
        <v>142505</v>
      </c>
      <c r="J68" s="87">
        <f>VLOOKUP(D68,База!$A$4:$AG$177,33,FALSE)</f>
        <v>100</v>
      </c>
      <c r="K68" s="108">
        <f>VLOOKUP(D68,База!$A$4:$V$177,22,FALSE)</f>
        <v>81842</v>
      </c>
      <c r="L68" s="108">
        <f>VLOOKUP(D68,База!$A$4:$W$177,23,FALSE)</f>
        <v>81842</v>
      </c>
      <c r="M68" s="87">
        <f>VLOOKUP(D68,База!$A$4:$X$177,24,0)</f>
        <v>100</v>
      </c>
      <c r="N68" s="95"/>
    </row>
    <row r="69" spans="2:14" x14ac:dyDescent="0.25">
      <c r="B69" s="92"/>
      <c r="C69" s="93">
        <v>62</v>
      </c>
      <c r="D69" s="107" t="s">
        <v>278</v>
      </c>
      <c r="E69" s="108">
        <f>VLOOKUP(D69,База!$A$4:$X$177,7,0)</f>
        <v>175441</v>
      </c>
      <c r="F69" s="108">
        <f>VLOOKUP(D69,База!$A$4:$X$177,8,0)</f>
        <v>175441</v>
      </c>
      <c r="G69" s="87">
        <f>VLOOKUP(D69,База!$A$4:$O$177,15,FALSE)</f>
        <v>100</v>
      </c>
      <c r="H69" s="108">
        <f>VLOOKUP(D69,База!$A$4:$AE$177,31,FALSE)</f>
        <v>141341</v>
      </c>
      <c r="I69" s="108">
        <f>VLOOKUP(D69,База!$A$4:$AF$177,32,FALSE)</f>
        <v>141341</v>
      </c>
      <c r="J69" s="87">
        <f>VLOOKUP(D69,База!$A$4:$AG$177,33,FALSE)</f>
        <v>100</v>
      </c>
      <c r="K69" s="108">
        <f>VLOOKUP(D69,База!$A$4:$V$177,22,FALSE)</f>
        <v>80071</v>
      </c>
      <c r="L69" s="108">
        <f>VLOOKUP(D69,База!$A$4:$W$177,23,FALSE)</f>
        <v>80071</v>
      </c>
      <c r="M69" s="87">
        <f>VLOOKUP(D69,База!$A$4:$X$177,24,0)</f>
        <v>100</v>
      </c>
      <c r="N69" s="95"/>
    </row>
    <row r="70" spans="2:14" x14ac:dyDescent="0.25">
      <c r="B70" s="92"/>
      <c r="C70" s="93">
        <v>63</v>
      </c>
      <c r="D70" s="107" t="s">
        <v>172</v>
      </c>
      <c r="E70" s="108">
        <f>VLOOKUP(D70,База!$A$4:$X$177,7,0)</f>
        <v>162369</v>
      </c>
      <c r="F70" s="108">
        <f>VLOOKUP(D70,База!$A$4:$X$177,8,0)</f>
        <v>162369</v>
      </c>
      <c r="G70" s="87">
        <f>VLOOKUP(D70,База!$A$4:$O$177,15,FALSE)</f>
        <v>100</v>
      </c>
      <c r="H70" s="108">
        <f>VLOOKUP(D70,База!$A$4:$AE$177,31,FALSE)</f>
        <v>138339</v>
      </c>
      <c r="I70" s="108">
        <f>VLOOKUP(D70,База!$A$4:$AF$177,32,FALSE)</f>
        <v>138339</v>
      </c>
      <c r="J70" s="87">
        <f>VLOOKUP(D70,База!$A$4:$AG$177,33,FALSE)</f>
        <v>100</v>
      </c>
      <c r="K70" s="108">
        <f>VLOOKUP(D70,База!$A$4:$V$177,22,FALSE)</f>
        <v>79774</v>
      </c>
      <c r="L70" s="108">
        <f>VLOOKUP(D70,База!$A$4:$W$177,23,FALSE)</f>
        <v>79774</v>
      </c>
      <c r="M70" s="87">
        <f>VLOOKUP(D70,База!$A$4:$X$177,24,0)</f>
        <v>100</v>
      </c>
      <c r="N70" s="95"/>
    </row>
    <row r="71" spans="2:14" x14ac:dyDescent="0.25">
      <c r="B71" s="92"/>
      <c r="C71" s="93">
        <v>64</v>
      </c>
      <c r="D71" s="107" t="s">
        <v>271</v>
      </c>
      <c r="E71" s="108">
        <f>VLOOKUP(D71,База!$A$4:$X$177,7,0)</f>
        <v>121871</v>
      </c>
      <c r="F71" s="108">
        <f>VLOOKUP(D71,База!$A$4:$X$177,8,0)</f>
        <v>121871</v>
      </c>
      <c r="G71" s="87">
        <f>VLOOKUP(D71,База!$A$4:$O$177,15,FALSE)</f>
        <v>100</v>
      </c>
      <c r="H71" s="108">
        <f>VLOOKUP(D71,База!$A$4:$AE$177,31,FALSE)</f>
        <v>120171</v>
      </c>
      <c r="I71" s="108">
        <f>VLOOKUP(D71,База!$A$4:$AF$177,32,FALSE)</f>
        <v>120171</v>
      </c>
      <c r="J71" s="87">
        <f>VLOOKUP(D71,База!$A$4:$AG$177,33,FALSE)</f>
        <v>100</v>
      </c>
      <c r="K71" s="108">
        <f>VLOOKUP(D71,База!$A$4:$V$177,22,FALSE)</f>
        <v>78471</v>
      </c>
      <c r="L71" s="108">
        <f>VLOOKUP(D71,База!$A$4:$W$177,23,FALSE)</f>
        <v>78471</v>
      </c>
      <c r="M71" s="87">
        <f>VLOOKUP(D71,База!$A$4:$X$177,24,0)</f>
        <v>100</v>
      </c>
      <c r="N71" s="95"/>
    </row>
    <row r="72" spans="2:14" x14ac:dyDescent="0.25">
      <c r="B72" s="92"/>
      <c r="C72" s="93">
        <v>65</v>
      </c>
      <c r="D72" s="107" t="s">
        <v>284</v>
      </c>
      <c r="E72" s="108">
        <f>VLOOKUP(D72,База!$A$4:$X$177,7,0)</f>
        <v>138647</v>
      </c>
      <c r="F72" s="108">
        <f>VLOOKUP(D72,База!$A$4:$X$177,8,0)</f>
        <v>138647</v>
      </c>
      <c r="G72" s="87">
        <f>VLOOKUP(D72,База!$A$4:$O$177,15,FALSE)</f>
        <v>100</v>
      </c>
      <c r="H72" s="108">
        <f>VLOOKUP(D72,База!$A$4:$AE$177,31,FALSE)</f>
        <v>134185</v>
      </c>
      <c r="I72" s="108">
        <f>VLOOKUP(D72,База!$A$4:$AF$177,32,FALSE)</f>
        <v>134185</v>
      </c>
      <c r="J72" s="87">
        <f>VLOOKUP(D72,База!$A$4:$AG$177,33,FALSE)</f>
        <v>100</v>
      </c>
      <c r="K72" s="108">
        <f>VLOOKUP(D72,База!$A$4:$V$177,22,FALSE)</f>
        <v>73764</v>
      </c>
      <c r="L72" s="108">
        <f>VLOOKUP(D72,База!$A$4:$W$177,23,FALSE)</f>
        <v>73764</v>
      </c>
      <c r="M72" s="87">
        <f>VLOOKUP(D72,База!$A$4:$X$177,24,0)</f>
        <v>100</v>
      </c>
      <c r="N72" s="95"/>
    </row>
    <row r="73" spans="2:14" x14ac:dyDescent="0.25">
      <c r="B73" s="92"/>
      <c r="C73" s="93">
        <v>66</v>
      </c>
      <c r="D73" s="107" t="s">
        <v>112</v>
      </c>
      <c r="E73" s="108">
        <f>VLOOKUP(D73,База!$A$4:$X$177,7,0)</f>
        <v>125688</v>
      </c>
      <c r="F73" s="108">
        <f>VLOOKUP(D73,База!$A$4:$X$177,8,0)</f>
        <v>125688</v>
      </c>
      <c r="G73" s="87">
        <f>VLOOKUP(D73,База!$A$4:$O$177,15,FALSE)</f>
        <v>100</v>
      </c>
      <c r="H73" s="108">
        <f>VLOOKUP(D73,База!$A$4:$AE$177,31,FALSE)</f>
        <v>107977</v>
      </c>
      <c r="I73" s="108">
        <f>VLOOKUP(D73,База!$A$4:$AF$177,32,FALSE)</f>
        <v>107977</v>
      </c>
      <c r="J73" s="87">
        <f>VLOOKUP(D73,База!$A$4:$AG$177,33,FALSE)</f>
        <v>100</v>
      </c>
      <c r="K73" s="108">
        <f>VLOOKUP(D73,База!$A$4:$V$177,22,FALSE)</f>
        <v>72594</v>
      </c>
      <c r="L73" s="108">
        <f>VLOOKUP(D73,База!$A$4:$W$177,23,FALSE)</f>
        <v>72594</v>
      </c>
      <c r="M73" s="87">
        <f>VLOOKUP(D73,База!$A$4:$X$177,24,0)</f>
        <v>100</v>
      </c>
      <c r="N73" s="95"/>
    </row>
    <row r="74" spans="2:14" x14ac:dyDescent="0.25">
      <c r="B74" s="92"/>
      <c r="C74" s="93">
        <v>67</v>
      </c>
      <c r="D74" s="107" t="s">
        <v>205</v>
      </c>
      <c r="E74" s="108">
        <f>VLOOKUP(D74,База!$A$4:$X$177,7,0)</f>
        <v>146022</v>
      </c>
      <c r="F74" s="108">
        <f>VLOOKUP(D74,База!$A$4:$X$177,8,0)</f>
        <v>146022</v>
      </c>
      <c r="G74" s="87">
        <f>VLOOKUP(D74,База!$A$4:$O$177,15,FALSE)</f>
        <v>100</v>
      </c>
      <c r="H74" s="108">
        <f>VLOOKUP(D74,База!$A$4:$AE$177,31,FALSE)</f>
        <v>137374</v>
      </c>
      <c r="I74" s="108">
        <f>VLOOKUP(D74,База!$A$4:$AF$177,32,FALSE)</f>
        <v>137374</v>
      </c>
      <c r="J74" s="87">
        <f>VLOOKUP(D74,База!$A$4:$AG$177,33,FALSE)</f>
        <v>100</v>
      </c>
      <c r="K74" s="108">
        <f>VLOOKUP(D74,База!$A$4:$V$177,22,FALSE)</f>
        <v>71004</v>
      </c>
      <c r="L74" s="108">
        <f>VLOOKUP(D74,База!$A$4:$W$177,23,FALSE)</f>
        <v>71004</v>
      </c>
      <c r="M74" s="87">
        <f>VLOOKUP(D74,База!$A$4:$X$177,24,0)</f>
        <v>100</v>
      </c>
      <c r="N74" s="95"/>
    </row>
    <row r="75" spans="2:14" x14ac:dyDescent="0.25">
      <c r="B75" s="92"/>
      <c r="C75" s="93">
        <v>68</v>
      </c>
      <c r="D75" s="107" t="s">
        <v>285</v>
      </c>
      <c r="E75" s="108">
        <f>VLOOKUP(D75,База!$A$4:$X$177,7,0)</f>
        <v>134834</v>
      </c>
      <c r="F75" s="108">
        <f>VLOOKUP(D75,База!$A$4:$X$177,8,0)</f>
        <v>134834</v>
      </c>
      <c r="G75" s="87">
        <f>VLOOKUP(D75,База!$A$4:$O$177,15,FALSE)</f>
        <v>100</v>
      </c>
      <c r="H75" s="108">
        <f>VLOOKUP(D75,База!$A$4:$AE$177,31,FALSE)</f>
        <v>126575</v>
      </c>
      <c r="I75" s="108">
        <f>VLOOKUP(D75,База!$A$4:$AF$177,32,FALSE)</f>
        <v>126575</v>
      </c>
      <c r="J75" s="87">
        <f>VLOOKUP(D75,База!$A$4:$AG$177,33,FALSE)</f>
        <v>100</v>
      </c>
      <c r="K75" s="108">
        <f>VLOOKUP(D75,База!$A$4:$V$177,22,FALSE)</f>
        <v>70572</v>
      </c>
      <c r="L75" s="108">
        <f>VLOOKUP(D75,База!$A$4:$W$177,23,FALSE)</f>
        <v>70572</v>
      </c>
      <c r="M75" s="87">
        <f>VLOOKUP(D75,База!$A$4:$X$177,24,0)</f>
        <v>100</v>
      </c>
      <c r="N75" s="95"/>
    </row>
    <row r="76" spans="2:14" x14ac:dyDescent="0.25">
      <c r="B76" s="92"/>
      <c r="C76" s="93">
        <v>69</v>
      </c>
      <c r="D76" s="107" t="s">
        <v>122</v>
      </c>
      <c r="E76" s="108">
        <f>VLOOKUP(D76,База!$A$4:$X$177,7,0)</f>
        <v>142913</v>
      </c>
      <c r="F76" s="108">
        <f>VLOOKUP(D76,База!$A$4:$X$177,8,0)</f>
        <v>142913</v>
      </c>
      <c r="G76" s="87">
        <f>VLOOKUP(D76,База!$A$4:$O$177,15,FALSE)</f>
        <v>100</v>
      </c>
      <c r="H76" s="108">
        <f>VLOOKUP(D76,База!$A$4:$AE$177,31,FALSE)</f>
        <v>132609</v>
      </c>
      <c r="I76" s="108">
        <f>VLOOKUP(D76,База!$A$4:$AF$177,32,FALSE)</f>
        <v>132609</v>
      </c>
      <c r="J76" s="87">
        <f>VLOOKUP(D76,База!$A$4:$AG$177,33,FALSE)</f>
        <v>100</v>
      </c>
      <c r="K76" s="108">
        <f>VLOOKUP(D76,База!$A$4:$V$177,22,FALSE)</f>
        <v>69739</v>
      </c>
      <c r="L76" s="108">
        <f>VLOOKUP(D76,База!$A$4:$W$177,23,FALSE)</f>
        <v>69739</v>
      </c>
      <c r="M76" s="87">
        <f>VLOOKUP(D76,База!$A$4:$X$177,24,0)</f>
        <v>100</v>
      </c>
      <c r="N76" s="95"/>
    </row>
    <row r="77" spans="2:14" x14ac:dyDescent="0.25">
      <c r="B77" s="92"/>
      <c r="C77" s="93">
        <v>70</v>
      </c>
      <c r="D77" s="107" t="s">
        <v>138</v>
      </c>
      <c r="E77" s="108">
        <f>VLOOKUP(D77,База!$A$4:$X$177,7,0)</f>
        <v>129255</v>
      </c>
      <c r="F77" s="108">
        <f>VLOOKUP(D77,База!$A$4:$X$177,8,0)</f>
        <v>129255</v>
      </c>
      <c r="G77" s="87">
        <f>VLOOKUP(D77,База!$A$4:$O$177,15,FALSE)</f>
        <v>100</v>
      </c>
      <c r="H77" s="108">
        <f>VLOOKUP(D77,База!$A$4:$AE$177,31,FALSE)</f>
        <v>114998</v>
      </c>
      <c r="I77" s="108">
        <f>VLOOKUP(D77,База!$A$4:$AF$177,32,FALSE)</f>
        <v>114998</v>
      </c>
      <c r="J77" s="87">
        <f>VLOOKUP(D77,База!$A$4:$AG$177,33,FALSE)</f>
        <v>100</v>
      </c>
      <c r="K77" s="108">
        <f>VLOOKUP(D77,База!$A$4:$V$177,22,FALSE)</f>
        <v>68250</v>
      </c>
      <c r="L77" s="108">
        <f>VLOOKUP(D77,База!$A$4:$W$177,23,FALSE)</f>
        <v>68250</v>
      </c>
      <c r="M77" s="87">
        <f>VLOOKUP(D77,База!$A$4:$X$177,24,0)</f>
        <v>100</v>
      </c>
      <c r="N77" s="95"/>
    </row>
    <row r="78" spans="2:14" x14ac:dyDescent="0.25">
      <c r="B78" s="92"/>
      <c r="C78" s="93">
        <v>71</v>
      </c>
      <c r="D78" s="107" t="s">
        <v>134</v>
      </c>
      <c r="E78" s="108">
        <f>VLOOKUP(D78,База!$A$4:$X$177,7,0)</f>
        <v>88046</v>
      </c>
      <c r="F78" s="108">
        <f>VLOOKUP(D78,База!$A$4:$X$177,8,0)</f>
        <v>88046</v>
      </c>
      <c r="G78" s="87">
        <f>VLOOKUP(D78,База!$A$4:$O$177,15,FALSE)</f>
        <v>100</v>
      </c>
      <c r="H78" s="108">
        <f>VLOOKUP(D78,База!$A$4:$AE$177,31,FALSE)</f>
        <v>88046</v>
      </c>
      <c r="I78" s="108">
        <f>VLOOKUP(D78,База!$A$4:$AF$177,32,FALSE)</f>
        <v>88046</v>
      </c>
      <c r="J78" s="87">
        <f>VLOOKUP(D78,База!$A$4:$AG$177,33,FALSE)</f>
        <v>100</v>
      </c>
      <c r="K78" s="108">
        <f>VLOOKUP(D78,База!$A$4:$V$177,22,FALSE)</f>
        <v>67205</v>
      </c>
      <c r="L78" s="108">
        <f>VLOOKUP(D78,База!$A$4:$W$177,23,FALSE)</f>
        <v>67205</v>
      </c>
      <c r="M78" s="87">
        <f>VLOOKUP(D78,База!$A$4:$X$177,24,0)</f>
        <v>100</v>
      </c>
      <c r="N78" s="95"/>
    </row>
    <row r="79" spans="2:14" x14ac:dyDescent="0.25">
      <c r="B79" s="92"/>
      <c r="C79" s="93">
        <v>72</v>
      </c>
      <c r="D79" s="107" t="s">
        <v>162</v>
      </c>
      <c r="E79" s="108">
        <f>VLOOKUP(D79,База!$A$4:$X$177,7,0)</f>
        <v>106385</v>
      </c>
      <c r="F79" s="108">
        <f>VLOOKUP(D79,База!$A$4:$X$177,8,0)</f>
        <v>106385</v>
      </c>
      <c r="G79" s="87">
        <f>VLOOKUP(D79,База!$A$4:$O$177,15,FALSE)</f>
        <v>100</v>
      </c>
      <c r="H79" s="108">
        <f>VLOOKUP(D79,База!$A$4:$AE$177,31,FALSE)</f>
        <v>102622</v>
      </c>
      <c r="I79" s="108">
        <f>VLOOKUP(D79,База!$A$4:$AF$177,32,FALSE)</f>
        <v>102622</v>
      </c>
      <c r="J79" s="87">
        <f>VLOOKUP(D79,База!$A$4:$AG$177,33,FALSE)</f>
        <v>100</v>
      </c>
      <c r="K79" s="108">
        <f>VLOOKUP(D79,База!$A$4:$V$177,22,FALSE)</f>
        <v>65326</v>
      </c>
      <c r="L79" s="108">
        <f>VLOOKUP(D79,База!$A$4:$W$177,23,FALSE)</f>
        <v>65326</v>
      </c>
      <c r="M79" s="87">
        <f>VLOOKUP(D79,База!$A$4:$X$177,24,0)</f>
        <v>100</v>
      </c>
      <c r="N79" s="95"/>
    </row>
    <row r="80" spans="2:14" x14ac:dyDescent="0.25">
      <c r="B80" s="92"/>
      <c r="C80" s="93">
        <v>73</v>
      </c>
      <c r="D80" s="107" t="s">
        <v>144</v>
      </c>
      <c r="E80" s="108">
        <f>VLOOKUP(D80,База!$A$4:$X$177,7,0)</f>
        <v>160601</v>
      </c>
      <c r="F80" s="108">
        <f>VLOOKUP(D80,База!$A$4:$X$177,8,0)</f>
        <v>160601</v>
      </c>
      <c r="G80" s="87">
        <f>VLOOKUP(D80,База!$A$4:$O$177,15,FALSE)</f>
        <v>100</v>
      </c>
      <c r="H80" s="108">
        <f>VLOOKUP(D80,База!$A$4:$AE$177,31,FALSE)</f>
        <v>114669</v>
      </c>
      <c r="I80" s="108">
        <f>VLOOKUP(D80,База!$A$4:$AF$177,32,FALSE)</f>
        <v>114669</v>
      </c>
      <c r="J80" s="87">
        <f>VLOOKUP(D80,База!$A$4:$AG$177,33,FALSE)</f>
        <v>100</v>
      </c>
      <c r="K80" s="108">
        <f>VLOOKUP(D80,База!$A$4:$V$177,22,FALSE)</f>
        <v>62094</v>
      </c>
      <c r="L80" s="108">
        <f>VLOOKUP(D80,База!$A$4:$W$177,23,FALSE)</f>
        <v>62094</v>
      </c>
      <c r="M80" s="87">
        <f>VLOOKUP(D80,База!$A$4:$X$177,24,0)</f>
        <v>100</v>
      </c>
      <c r="N80" s="95"/>
    </row>
    <row r="81" spans="2:14" x14ac:dyDescent="0.25">
      <c r="B81" s="92"/>
      <c r="C81" s="93">
        <v>74</v>
      </c>
      <c r="D81" s="107" t="s">
        <v>110</v>
      </c>
      <c r="E81" s="108">
        <f>VLOOKUP(D81,База!$A$4:$X$177,7,0)</f>
        <v>100029</v>
      </c>
      <c r="F81" s="108">
        <f>VLOOKUP(D81,База!$A$4:$X$177,8,0)</f>
        <v>100029</v>
      </c>
      <c r="G81" s="87">
        <f>VLOOKUP(D81,База!$A$4:$O$177,15,FALSE)</f>
        <v>100</v>
      </c>
      <c r="H81" s="108">
        <f>VLOOKUP(D81,База!$A$4:$AE$177,31,FALSE)</f>
        <v>98712</v>
      </c>
      <c r="I81" s="108">
        <f>VLOOKUP(D81,База!$A$4:$AF$177,32,FALSE)</f>
        <v>98712</v>
      </c>
      <c r="J81" s="87">
        <f>VLOOKUP(D81,База!$A$4:$AG$177,33,FALSE)</f>
        <v>100</v>
      </c>
      <c r="K81" s="108">
        <f>VLOOKUP(D81,База!$A$4:$V$177,22,FALSE)</f>
        <v>61920</v>
      </c>
      <c r="L81" s="108">
        <f>VLOOKUP(D81,База!$A$4:$W$177,23,FALSE)</f>
        <v>61920</v>
      </c>
      <c r="M81" s="87">
        <f>VLOOKUP(D81,База!$A$4:$X$177,24,0)</f>
        <v>100</v>
      </c>
      <c r="N81" s="95"/>
    </row>
    <row r="82" spans="2:14" x14ac:dyDescent="0.25">
      <c r="B82" s="92"/>
      <c r="C82" s="93">
        <v>75</v>
      </c>
      <c r="D82" s="107" t="s">
        <v>288</v>
      </c>
      <c r="E82" s="108">
        <f>VLOOKUP(D82,База!$A$4:$X$177,7,0)</f>
        <v>107343</v>
      </c>
      <c r="F82" s="108">
        <f>VLOOKUP(D82,База!$A$4:$X$177,8,0)</f>
        <v>107343</v>
      </c>
      <c r="G82" s="87">
        <f>VLOOKUP(D82,База!$A$4:$O$177,15,FALSE)</f>
        <v>100</v>
      </c>
      <c r="H82" s="108">
        <f>VLOOKUP(D82,База!$A$4:$AE$177,31,FALSE)</f>
        <v>106674</v>
      </c>
      <c r="I82" s="108">
        <f>VLOOKUP(D82,База!$A$4:$AF$177,32,FALSE)</f>
        <v>106674</v>
      </c>
      <c r="J82" s="87">
        <f>VLOOKUP(D82,База!$A$4:$AG$177,33,FALSE)</f>
        <v>100</v>
      </c>
      <c r="K82" s="108">
        <f>VLOOKUP(D82,База!$A$4:$V$177,22,FALSE)</f>
        <v>61250</v>
      </c>
      <c r="L82" s="108">
        <f>VLOOKUP(D82,База!$A$4:$W$177,23,FALSE)</f>
        <v>61250</v>
      </c>
      <c r="M82" s="87">
        <f>VLOOKUP(D82,База!$A$4:$X$177,24,0)</f>
        <v>100</v>
      </c>
      <c r="N82" s="95"/>
    </row>
    <row r="83" spans="2:14" x14ac:dyDescent="0.25">
      <c r="B83" s="92"/>
      <c r="C83" s="93">
        <v>76</v>
      </c>
      <c r="D83" s="107" t="s">
        <v>168</v>
      </c>
      <c r="E83" s="108">
        <f>VLOOKUP(D83,База!$A$4:$X$177,7,0)</f>
        <v>114539</v>
      </c>
      <c r="F83" s="108">
        <f>VLOOKUP(D83,База!$A$4:$X$177,8,0)</f>
        <v>114539</v>
      </c>
      <c r="G83" s="87">
        <f>VLOOKUP(D83,База!$A$4:$O$177,15,FALSE)</f>
        <v>100</v>
      </c>
      <c r="H83" s="108">
        <f>VLOOKUP(D83,База!$A$4:$AE$177,31,FALSE)</f>
        <v>114539</v>
      </c>
      <c r="I83" s="108">
        <f>VLOOKUP(D83,База!$A$4:$AF$177,32,FALSE)</f>
        <v>114539</v>
      </c>
      <c r="J83" s="87">
        <f>VLOOKUP(D83,База!$A$4:$AG$177,33,FALSE)</f>
        <v>100</v>
      </c>
      <c r="K83" s="108">
        <f>VLOOKUP(D83,База!$A$4:$V$177,22,FALSE)</f>
        <v>60600</v>
      </c>
      <c r="L83" s="108">
        <f>VLOOKUP(D83,База!$A$4:$W$177,23,FALSE)</f>
        <v>60600</v>
      </c>
      <c r="M83" s="87">
        <f>VLOOKUP(D83,База!$A$4:$X$177,24,0)</f>
        <v>100</v>
      </c>
      <c r="N83" s="95"/>
    </row>
    <row r="84" spans="2:14" x14ac:dyDescent="0.25">
      <c r="B84" s="92"/>
      <c r="C84" s="93">
        <v>77</v>
      </c>
      <c r="D84" s="107" t="s">
        <v>184</v>
      </c>
      <c r="E84" s="108">
        <f>VLOOKUP(D84,База!$A$4:$X$177,7,0)</f>
        <v>83330</v>
      </c>
      <c r="F84" s="108">
        <f>VLOOKUP(D84,База!$A$4:$X$177,8,0)</f>
        <v>83330</v>
      </c>
      <c r="G84" s="87">
        <f>VLOOKUP(D84,База!$A$4:$O$177,15,FALSE)</f>
        <v>100</v>
      </c>
      <c r="H84" s="108">
        <f>VLOOKUP(D84,База!$A$4:$AE$177,31,FALSE)</f>
        <v>83061</v>
      </c>
      <c r="I84" s="108">
        <f>VLOOKUP(D84,База!$A$4:$AF$177,32,FALSE)</f>
        <v>83061</v>
      </c>
      <c r="J84" s="87">
        <f>VLOOKUP(D84,База!$A$4:$AG$177,33,FALSE)</f>
        <v>100</v>
      </c>
      <c r="K84" s="108">
        <f>VLOOKUP(D84,База!$A$4:$V$177,22,FALSE)</f>
        <v>59760</v>
      </c>
      <c r="L84" s="108">
        <f>VLOOKUP(D84,База!$A$4:$W$177,23,FALSE)</f>
        <v>59760</v>
      </c>
      <c r="M84" s="87">
        <f>VLOOKUP(D84,База!$A$4:$X$177,24,0)</f>
        <v>100</v>
      </c>
      <c r="N84" s="95"/>
    </row>
    <row r="85" spans="2:14" x14ac:dyDescent="0.25">
      <c r="B85" s="92"/>
      <c r="C85" s="93">
        <v>78</v>
      </c>
      <c r="D85" s="107" t="s">
        <v>283</v>
      </c>
      <c r="E85" s="108">
        <f>VLOOKUP(D85,База!$A$4:$X$177,7,0)</f>
        <v>144795</v>
      </c>
      <c r="F85" s="108">
        <f>VLOOKUP(D85,База!$A$4:$X$177,8,0)</f>
        <v>144795</v>
      </c>
      <c r="G85" s="87">
        <f>VLOOKUP(D85,База!$A$4:$O$177,15,FALSE)</f>
        <v>100</v>
      </c>
      <c r="H85" s="108">
        <f>VLOOKUP(D85,База!$A$4:$AE$177,31,FALSE)</f>
        <v>120130</v>
      </c>
      <c r="I85" s="108">
        <f>VLOOKUP(D85,База!$A$4:$AF$177,32,FALSE)</f>
        <v>120130</v>
      </c>
      <c r="J85" s="87">
        <f>VLOOKUP(D85,База!$A$4:$AG$177,33,FALSE)</f>
        <v>100</v>
      </c>
      <c r="K85" s="108">
        <f>VLOOKUP(D85,База!$A$4:$V$177,22,FALSE)</f>
        <v>59606</v>
      </c>
      <c r="L85" s="108">
        <f>VLOOKUP(D85,База!$A$4:$W$177,23,FALSE)</f>
        <v>59606</v>
      </c>
      <c r="M85" s="87">
        <f>VLOOKUP(D85,База!$A$4:$X$177,24,0)</f>
        <v>100</v>
      </c>
      <c r="N85" s="95"/>
    </row>
    <row r="86" spans="2:14" x14ac:dyDescent="0.25">
      <c r="B86" s="92"/>
      <c r="C86" s="93">
        <v>79</v>
      </c>
      <c r="D86" s="107" t="s">
        <v>115</v>
      </c>
      <c r="E86" s="108">
        <f>VLOOKUP(D86,База!$A$4:$X$177,7,0)</f>
        <v>84536</v>
      </c>
      <c r="F86" s="108">
        <f>VLOOKUP(D86,База!$A$4:$X$177,8,0)</f>
        <v>84536</v>
      </c>
      <c r="G86" s="87">
        <f>VLOOKUP(D86,База!$A$4:$O$177,15,FALSE)</f>
        <v>100</v>
      </c>
      <c r="H86" s="108">
        <f>VLOOKUP(D86,База!$A$4:$AE$177,31,FALSE)</f>
        <v>84536</v>
      </c>
      <c r="I86" s="108">
        <f>VLOOKUP(D86,База!$A$4:$AF$177,32,FALSE)</f>
        <v>84536</v>
      </c>
      <c r="J86" s="87">
        <f>VLOOKUP(D86,База!$A$4:$AG$177,33,FALSE)</f>
        <v>100</v>
      </c>
      <c r="K86" s="108">
        <f>VLOOKUP(D86,База!$A$4:$V$177,22,FALSE)</f>
        <v>59183</v>
      </c>
      <c r="L86" s="108">
        <f>VLOOKUP(D86,База!$A$4:$W$177,23,FALSE)</f>
        <v>59183</v>
      </c>
      <c r="M86" s="87">
        <f>VLOOKUP(D86,База!$A$4:$X$177,24,0)</f>
        <v>100</v>
      </c>
      <c r="N86" s="95"/>
    </row>
    <row r="87" spans="2:14" x14ac:dyDescent="0.25">
      <c r="B87" s="92"/>
      <c r="C87" s="93">
        <v>80</v>
      </c>
      <c r="D87" s="107" t="s">
        <v>287</v>
      </c>
      <c r="E87" s="108">
        <f>VLOOKUP(D87,База!$A$4:$X$177,7,0)</f>
        <v>114961</v>
      </c>
      <c r="F87" s="108">
        <f>VLOOKUP(D87,База!$A$4:$X$177,8,0)</f>
        <v>114961</v>
      </c>
      <c r="G87" s="87">
        <f>VLOOKUP(D87,База!$A$4:$O$177,15,FALSE)</f>
        <v>100</v>
      </c>
      <c r="H87" s="108">
        <f>VLOOKUP(D87,База!$A$4:$AE$177,31,FALSE)</f>
        <v>94046</v>
      </c>
      <c r="I87" s="108">
        <f>VLOOKUP(D87,База!$A$4:$AF$177,32,FALSE)</f>
        <v>94046</v>
      </c>
      <c r="J87" s="87">
        <f>VLOOKUP(D87,База!$A$4:$AG$177,33,FALSE)</f>
        <v>100</v>
      </c>
      <c r="K87" s="108">
        <f>VLOOKUP(D87,База!$A$4:$V$177,22,FALSE)</f>
        <v>57836</v>
      </c>
      <c r="L87" s="108">
        <f>VLOOKUP(D87,База!$A$4:$W$177,23,FALSE)</f>
        <v>57836</v>
      </c>
      <c r="M87" s="87">
        <f>VLOOKUP(D87,База!$A$4:$X$177,24,0)</f>
        <v>100</v>
      </c>
      <c r="N87" s="95"/>
    </row>
    <row r="88" spans="2:14" x14ac:dyDescent="0.25">
      <c r="B88" s="92"/>
      <c r="C88" s="93">
        <v>81</v>
      </c>
      <c r="D88" s="107" t="s">
        <v>119</v>
      </c>
      <c r="E88" s="108">
        <f>VLOOKUP(D88,База!$A$4:$X$177,7,0)</f>
        <v>116229</v>
      </c>
      <c r="F88" s="108">
        <f>VLOOKUP(D88,База!$A$4:$X$177,8,0)</f>
        <v>116229</v>
      </c>
      <c r="G88" s="87">
        <f>VLOOKUP(D88,База!$A$4:$O$177,15,FALSE)</f>
        <v>100</v>
      </c>
      <c r="H88" s="108">
        <f>VLOOKUP(D88,База!$A$4:$AE$177,31,FALSE)</f>
        <v>99603</v>
      </c>
      <c r="I88" s="108">
        <f>VLOOKUP(D88,База!$A$4:$AF$177,32,FALSE)</f>
        <v>99603</v>
      </c>
      <c r="J88" s="87">
        <f>VLOOKUP(D88,База!$A$4:$AG$177,33,FALSE)</f>
        <v>100</v>
      </c>
      <c r="K88" s="108">
        <f>VLOOKUP(D88,База!$A$4:$V$177,22,FALSE)</f>
        <v>57783</v>
      </c>
      <c r="L88" s="108">
        <f>VLOOKUP(D88,База!$A$4:$W$177,23,FALSE)</f>
        <v>57783</v>
      </c>
      <c r="M88" s="87">
        <f>VLOOKUP(D88,База!$A$4:$X$177,24,0)</f>
        <v>100</v>
      </c>
      <c r="N88" s="95"/>
    </row>
    <row r="89" spans="2:14" x14ac:dyDescent="0.25">
      <c r="B89" s="92"/>
      <c r="C89" s="93">
        <v>82</v>
      </c>
      <c r="D89" s="107" t="s">
        <v>163</v>
      </c>
      <c r="E89" s="108">
        <f>VLOOKUP(D89,База!$A$4:$X$177,7,0)</f>
        <v>98648</v>
      </c>
      <c r="F89" s="108">
        <f>VLOOKUP(D89,База!$A$4:$X$177,8,0)</f>
        <v>98648</v>
      </c>
      <c r="G89" s="87">
        <f>VLOOKUP(D89,База!$A$4:$O$177,15,FALSE)</f>
        <v>100</v>
      </c>
      <c r="H89" s="108">
        <f>VLOOKUP(D89,База!$A$4:$AE$177,31,FALSE)</f>
        <v>89132</v>
      </c>
      <c r="I89" s="108">
        <f>VLOOKUP(D89,База!$A$4:$AF$177,32,FALSE)</f>
        <v>89132</v>
      </c>
      <c r="J89" s="87">
        <f>VLOOKUP(D89,База!$A$4:$AG$177,33,FALSE)</f>
        <v>100</v>
      </c>
      <c r="K89" s="108">
        <f>VLOOKUP(D89,База!$A$4:$V$177,22,FALSE)</f>
        <v>57535</v>
      </c>
      <c r="L89" s="108">
        <f>VLOOKUP(D89,База!$A$4:$W$177,23,FALSE)</f>
        <v>57535</v>
      </c>
      <c r="M89" s="87">
        <f>VLOOKUP(D89,База!$A$4:$X$177,24,0)</f>
        <v>100</v>
      </c>
      <c r="N89" s="95"/>
    </row>
    <row r="90" spans="2:14" x14ac:dyDescent="0.25">
      <c r="B90" s="92"/>
      <c r="C90" s="93">
        <v>83</v>
      </c>
      <c r="D90" s="107" t="s">
        <v>281</v>
      </c>
      <c r="E90" s="108">
        <f>VLOOKUP(D90,База!$A$4:$X$177,7,0)</f>
        <v>126936</v>
      </c>
      <c r="F90" s="108">
        <f>VLOOKUP(D90,База!$A$4:$X$177,8,0)</f>
        <v>126936</v>
      </c>
      <c r="G90" s="87">
        <f>VLOOKUP(D90,База!$A$4:$O$177,15,FALSE)</f>
        <v>100</v>
      </c>
      <c r="H90" s="108">
        <f>VLOOKUP(D90,База!$A$4:$AE$177,31,FALSE)</f>
        <v>106908</v>
      </c>
      <c r="I90" s="108">
        <f>VLOOKUP(D90,База!$A$4:$AF$177,32,FALSE)</f>
        <v>106908</v>
      </c>
      <c r="J90" s="87">
        <f>VLOOKUP(D90,База!$A$4:$AG$177,33,FALSE)</f>
        <v>100</v>
      </c>
      <c r="K90" s="108">
        <f>VLOOKUP(D90,База!$A$4:$V$177,22,FALSE)</f>
        <v>57124</v>
      </c>
      <c r="L90" s="108">
        <f>VLOOKUP(D90,База!$A$4:$W$177,23,FALSE)</f>
        <v>57124</v>
      </c>
      <c r="M90" s="87">
        <f>VLOOKUP(D90,База!$A$4:$X$177,24,0)</f>
        <v>100</v>
      </c>
      <c r="N90" s="95"/>
    </row>
    <row r="91" spans="2:14" x14ac:dyDescent="0.25">
      <c r="B91" s="92"/>
      <c r="C91" s="93">
        <v>84</v>
      </c>
      <c r="D91" s="107" t="s">
        <v>282</v>
      </c>
      <c r="E91" s="108">
        <f>VLOOKUP(D91,База!$A$4:$X$177,7,0)</f>
        <v>146329</v>
      </c>
      <c r="F91" s="108">
        <f>VLOOKUP(D91,База!$A$4:$X$177,8,0)</f>
        <v>146329</v>
      </c>
      <c r="G91" s="87">
        <f>VLOOKUP(D91,База!$A$4:$O$177,15,FALSE)</f>
        <v>100</v>
      </c>
      <c r="H91" s="108">
        <f>VLOOKUP(D91,База!$A$4:$AE$177,31,FALSE)</f>
        <v>113661</v>
      </c>
      <c r="I91" s="108">
        <f>VLOOKUP(D91,База!$A$4:$AF$177,32,FALSE)</f>
        <v>113661</v>
      </c>
      <c r="J91" s="87">
        <f>VLOOKUP(D91,База!$A$4:$AG$177,33,FALSE)</f>
        <v>100</v>
      </c>
      <c r="K91" s="108">
        <f>VLOOKUP(D91,База!$A$4:$V$177,22,FALSE)</f>
        <v>56982</v>
      </c>
      <c r="L91" s="108">
        <f>VLOOKUP(D91,База!$A$4:$W$177,23,FALSE)</f>
        <v>56982</v>
      </c>
      <c r="M91" s="87">
        <f>VLOOKUP(D91,База!$A$4:$X$177,24,0)</f>
        <v>100</v>
      </c>
      <c r="N91" s="95"/>
    </row>
    <row r="92" spans="2:14" x14ac:dyDescent="0.25">
      <c r="B92" s="92"/>
      <c r="C92" s="93">
        <v>85</v>
      </c>
      <c r="D92" s="107" t="s">
        <v>153</v>
      </c>
      <c r="E92" s="108">
        <f>VLOOKUP(D92,База!$A$4:$X$177,7,0)</f>
        <v>85188</v>
      </c>
      <c r="F92" s="108">
        <f>VLOOKUP(D92,База!$A$4:$X$177,8,0)</f>
        <v>85188</v>
      </c>
      <c r="G92" s="87">
        <f>VLOOKUP(D92,База!$A$4:$O$177,15,FALSE)</f>
        <v>100</v>
      </c>
      <c r="H92" s="108">
        <f>VLOOKUP(D92,База!$A$4:$AE$177,31,FALSE)</f>
        <v>83588</v>
      </c>
      <c r="I92" s="108">
        <f>VLOOKUP(D92,База!$A$4:$AF$177,32,FALSE)</f>
        <v>83588</v>
      </c>
      <c r="J92" s="87">
        <f>VLOOKUP(D92,База!$A$4:$AG$177,33,FALSE)</f>
        <v>100</v>
      </c>
      <c r="K92" s="108">
        <f>VLOOKUP(D92,База!$A$4:$V$177,22,FALSE)</f>
        <v>56556</v>
      </c>
      <c r="L92" s="108">
        <f>VLOOKUP(D92,База!$A$4:$W$177,23,FALSE)</f>
        <v>56556</v>
      </c>
      <c r="M92" s="87">
        <f>VLOOKUP(D92,База!$A$4:$X$177,24,0)</f>
        <v>100</v>
      </c>
      <c r="N92" s="95"/>
    </row>
    <row r="93" spans="2:14" x14ac:dyDescent="0.25">
      <c r="B93" s="92"/>
      <c r="C93" s="93">
        <v>86</v>
      </c>
      <c r="D93" s="107" t="s">
        <v>157</v>
      </c>
      <c r="E93" s="108">
        <f>VLOOKUP(D93,База!$A$4:$X$177,7,0)</f>
        <v>100717</v>
      </c>
      <c r="F93" s="108">
        <f>VLOOKUP(D93,База!$A$4:$X$177,8,0)</f>
        <v>100717</v>
      </c>
      <c r="G93" s="87">
        <f>VLOOKUP(D93,База!$A$4:$O$177,15,FALSE)</f>
        <v>100</v>
      </c>
      <c r="H93" s="108">
        <f>VLOOKUP(D93,База!$A$4:$AE$177,31,FALSE)</f>
        <v>98788</v>
      </c>
      <c r="I93" s="108">
        <f>VLOOKUP(D93,База!$A$4:$AF$177,32,FALSE)</f>
        <v>98788</v>
      </c>
      <c r="J93" s="87">
        <f>VLOOKUP(D93,База!$A$4:$AG$177,33,FALSE)</f>
        <v>100</v>
      </c>
      <c r="K93" s="108">
        <f>VLOOKUP(D93,База!$A$4:$V$177,22,FALSE)</f>
        <v>56127</v>
      </c>
      <c r="L93" s="108">
        <f>VLOOKUP(D93,База!$A$4:$W$177,23,FALSE)</f>
        <v>56127</v>
      </c>
      <c r="M93" s="87">
        <f>VLOOKUP(D93,База!$A$4:$X$177,24,0)</f>
        <v>100</v>
      </c>
      <c r="N93" s="95"/>
    </row>
    <row r="94" spans="2:14" x14ac:dyDescent="0.25">
      <c r="B94" s="92"/>
      <c r="C94" s="93">
        <v>87</v>
      </c>
      <c r="D94" s="107" t="s">
        <v>289</v>
      </c>
      <c r="E94" s="108">
        <f>VLOOKUP(D94,База!$A$4:$X$177,7,0)</f>
        <v>115610</v>
      </c>
      <c r="F94" s="108">
        <f>VLOOKUP(D94,База!$A$4:$X$177,8,0)</f>
        <v>115610</v>
      </c>
      <c r="G94" s="87">
        <f>VLOOKUP(D94,База!$A$4:$O$177,15,FALSE)</f>
        <v>100</v>
      </c>
      <c r="H94" s="108">
        <f>VLOOKUP(D94,База!$A$4:$AE$177,31,FALSE)</f>
        <v>102947</v>
      </c>
      <c r="I94" s="108">
        <f>VLOOKUP(D94,База!$A$4:$AF$177,32,FALSE)</f>
        <v>102947</v>
      </c>
      <c r="J94" s="87">
        <f>VLOOKUP(D94,База!$A$4:$AG$177,33,FALSE)</f>
        <v>100</v>
      </c>
      <c r="K94" s="108">
        <f>VLOOKUP(D94,База!$A$4:$V$177,22,FALSE)</f>
        <v>55518</v>
      </c>
      <c r="L94" s="108">
        <f>VLOOKUP(D94,База!$A$4:$W$177,23,FALSE)</f>
        <v>55518</v>
      </c>
      <c r="M94" s="87">
        <f>VLOOKUP(D94,База!$A$4:$X$177,24,0)</f>
        <v>100</v>
      </c>
      <c r="N94" s="95"/>
    </row>
    <row r="95" spans="2:14" x14ac:dyDescent="0.25">
      <c r="B95" s="92"/>
      <c r="C95" s="93">
        <v>88</v>
      </c>
      <c r="D95" s="107" t="s">
        <v>132</v>
      </c>
      <c r="E95" s="108">
        <f>VLOOKUP(D95,База!$A$4:$X$177,7,0)</f>
        <v>95849</v>
      </c>
      <c r="F95" s="108">
        <f>VLOOKUP(D95,База!$A$4:$X$177,8,0)</f>
        <v>95849</v>
      </c>
      <c r="G95" s="87">
        <f>VLOOKUP(D95,База!$A$4:$O$177,15,FALSE)</f>
        <v>100</v>
      </c>
      <c r="H95" s="108">
        <f>VLOOKUP(D95,База!$A$4:$AE$177,31,FALSE)</f>
        <v>87576</v>
      </c>
      <c r="I95" s="108">
        <f>VLOOKUP(D95,База!$A$4:$AF$177,32,FALSE)</f>
        <v>87576</v>
      </c>
      <c r="J95" s="87">
        <f>VLOOKUP(D95,База!$A$4:$AG$177,33,FALSE)</f>
        <v>100</v>
      </c>
      <c r="K95" s="108">
        <f>VLOOKUP(D95,База!$A$4:$V$177,22,FALSE)</f>
        <v>54821</v>
      </c>
      <c r="L95" s="108">
        <f>VLOOKUP(D95,База!$A$4:$W$177,23,FALSE)</f>
        <v>54821</v>
      </c>
      <c r="M95" s="87">
        <f>VLOOKUP(D95,База!$A$4:$X$177,24,0)</f>
        <v>100</v>
      </c>
      <c r="N95" s="95"/>
    </row>
    <row r="96" spans="2:14" x14ac:dyDescent="0.25">
      <c r="B96" s="92"/>
      <c r="C96" s="93">
        <v>89</v>
      </c>
      <c r="D96" s="107" t="s">
        <v>297</v>
      </c>
      <c r="E96" s="108">
        <f>VLOOKUP(D96,База!$A$4:$X$177,7,0)</f>
        <v>77661</v>
      </c>
      <c r="F96" s="108">
        <f>VLOOKUP(D96,База!$A$4:$X$177,8,0)</f>
        <v>77661</v>
      </c>
      <c r="G96" s="87">
        <f>VLOOKUP(D96,База!$A$4:$O$177,15,FALSE)</f>
        <v>100</v>
      </c>
      <c r="H96" s="108">
        <f>VLOOKUP(D96,База!$A$4:$AE$177,31,FALSE)</f>
        <v>77152</v>
      </c>
      <c r="I96" s="108">
        <f>VLOOKUP(D96,База!$A$4:$AF$177,32,FALSE)</f>
        <v>77152</v>
      </c>
      <c r="J96" s="87">
        <f>VLOOKUP(D96,База!$A$4:$AG$177,33,FALSE)</f>
        <v>100</v>
      </c>
      <c r="K96" s="108">
        <f>VLOOKUP(D96,База!$A$4:$V$177,22,FALSE)</f>
        <v>53955</v>
      </c>
      <c r="L96" s="108">
        <f>VLOOKUP(D96,База!$A$4:$W$177,23,FALSE)</f>
        <v>53955</v>
      </c>
      <c r="M96" s="87">
        <f>VLOOKUP(D96,База!$A$4:$X$177,24,0)</f>
        <v>100</v>
      </c>
      <c r="N96" s="95"/>
    </row>
    <row r="97" spans="2:14" x14ac:dyDescent="0.25">
      <c r="B97" s="92"/>
      <c r="C97" s="93">
        <v>90</v>
      </c>
      <c r="D97" s="107" t="s">
        <v>199</v>
      </c>
      <c r="E97" s="108">
        <f>VLOOKUP(D97,База!$A$4:$X$177,7,0)</f>
        <v>108284</v>
      </c>
      <c r="F97" s="108">
        <f>VLOOKUP(D97,База!$A$4:$X$177,8,0)</f>
        <v>108284</v>
      </c>
      <c r="G97" s="87">
        <f>VLOOKUP(D97,База!$A$4:$O$177,15,FALSE)</f>
        <v>100</v>
      </c>
      <c r="H97" s="108">
        <f>VLOOKUP(D97,База!$A$4:$AE$177,31,FALSE)</f>
        <v>99037</v>
      </c>
      <c r="I97" s="108">
        <f>VLOOKUP(D97,База!$A$4:$AF$177,32,FALSE)</f>
        <v>99037</v>
      </c>
      <c r="J97" s="87">
        <f>VLOOKUP(D97,База!$A$4:$AG$177,33,FALSE)</f>
        <v>100</v>
      </c>
      <c r="K97" s="108">
        <f>VLOOKUP(D97,База!$A$4:$V$177,22,FALSE)</f>
        <v>53908</v>
      </c>
      <c r="L97" s="108">
        <f>VLOOKUP(D97,База!$A$4:$W$177,23,FALSE)</f>
        <v>53908</v>
      </c>
      <c r="M97" s="87">
        <f>VLOOKUP(D97,База!$A$4:$X$177,24,0)</f>
        <v>100</v>
      </c>
      <c r="N97" s="95"/>
    </row>
    <row r="98" spans="2:14" x14ac:dyDescent="0.25">
      <c r="B98" s="92"/>
      <c r="C98" s="93">
        <v>91</v>
      </c>
      <c r="D98" s="107" t="s">
        <v>127</v>
      </c>
      <c r="E98" s="108">
        <f>VLOOKUP(D98,База!$A$4:$X$177,7,0)</f>
        <v>80614</v>
      </c>
      <c r="F98" s="108">
        <f>VLOOKUP(D98,База!$A$4:$X$177,8,0)</f>
        <v>80614</v>
      </c>
      <c r="G98" s="87">
        <f>VLOOKUP(D98,База!$A$4:$O$177,15,FALSE)</f>
        <v>100</v>
      </c>
      <c r="H98" s="108">
        <f>VLOOKUP(D98,База!$A$4:$AE$177,31,FALSE)</f>
        <v>76423</v>
      </c>
      <c r="I98" s="108">
        <f>VLOOKUP(D98,База!$A$4:$AF$177,32,FALSE)</f>
        <v>76423</v>
      </c>
      <c r="J98" s="87">
        <f>VLOOKUP(D98,База!$A$4:$AG$177,33,FALSE)</f>
        <v>100</v>
      </c>
      <c r="K98" s="108">
        <f>VLOOKUP(D98,База!$A$4:$V$177,22,FALSE)</f>
        <v>53839</v>
      </c>
      <c r="L98" s="108">
        <f>VLOOKUP(D98,База!$A$4:$W$177,23,FALSE)</f>
        <v>53839</v>
      </c>
      <c r="M98" s="87">
        <f>VLOOKUP(D98,База!$A$4:$X$177,24,0)</f>
        <v>100</v>
      </c>
      <c r="N98" s="95"/>
    </row>
    <row r="99" spans="2:14" x14ac:dyDescent="0.25">
      <c r="B99" s="92"/>
      <c r="C99" s="93">
        <v>92</v>
      </c>
      <c r="D99" s="107" t="s">
        <v>177</v>
      </c>
      <c r="E99" s="108">
        <f>VLOOKUP(D99,База!$A$4:$X$177,7,0)</f>
        <v>101546</v>
      </c>
      <c r="F99" s="108">
        <f>VLOOKUP(D99,База!$A$4:$X$177,8,0)</f>
        <v>101546</v>
      </c>
      <c r="G99" s="87">
        <f>VLOOKUP(D99,База!$A$4:$O$177,15,FALSE)</f>
        <v>100</v>
      </c>
      <c r="H99" s="108">
        <f>VLOOKUP(D99,База!$A$4:$AE$177,31,FALSE)</f>
        <v>91877</v>
      </c>
      <c r="I99" s="108">
        <f>VLOOKUP(D99,База!$A$4:$AF$177,32,FALSE)</f>
        <v>91877</v>
      </c>
      <c r="J99" s="87">
        <f>VLOOKUP(D99,База!$A$4:$AG$177,33,FALSE)</f>
        <v>100</v>
      </c>
      <c r="K99" s="108">
        <f>VLOOKUP(D99,База!$A$4:$V$177,22,FALSE)</f>
        <v>53294</v>
      </c>
      <c r="L99" s="108">
        <f>VLOOKUP(D99,База!$A$4:$W$177,23,FALSE)</f>
        <v>53294</v>
      </c>
      <c r="M99" s="87">
        <f>VLOOKUP(D99,База!$A$4:$X$177,24,0)</f>
        <v>100</v>
      </c>
      <c r="N99" s="95"/>
    </row>
    <row r="100" spans="2:14" x14ac:dyDescent="0.25">
      <c r="B100" s="92"/>
      <c r="C100" s="93">
        <v>93</v>
      </c>
      <c r="D100" s="107" t="s">
        <v>140</v>
      </c>
      <c r="E100" s="108">
        <f>VLOOKUP(D100,База!$A$4:$X$177,7,0)</f>
        <v>125151</v>
      </c>
      <c r="F100" s="108">
        <f>VLOOKUP(D100,База!$A$4:$X$177,8,0)</f>
        <v>125151</v>
      </c>
      <c r="G100" s="87">
        <f>VLOOKUP(D100,База!$A$4:$O$177,15,FALSE)</f>
        <v>100</v>
      </c>
      <c r="H100" s="108">
        <f>VLOOKUP(D100,База!$A$4:$AE$177,31,FALSE)</f>
        <v>106482</v>
      </c>
      <c r="I100" s="108">
        <f>VLOOKUP(D100,База!$A$4:$AF$177,32,FALSE)</f>
        <v>106482</v>
      </c>
      <c r="J100" s="87">
        <f>VLOOKUP(D100,База!$A$4:$AG$177,33,FALSE)</f>
        <v>100</v>
      </c>
      <c r="K100" s="108">
        <f>VLOOKUP(D100,База!$A$4:$V$177,22,FALSE)</f>
        <v>52463</v>
      </c>
      <c r="L100" s="108">
        <f>VLOOKUP(D100,База!$A$4:$W$177,23,FALSE)</f>
        <v>52463</v>
      </c>
      <c r="M100" s="87">
        <f>VLOOKUP(D100,База!$A$4:$X$177,24,0)</f>
        <v>100</v>
      </c>
      <c r="N100" s="95"/>
    </row>
    <row r="101" spans="2:14" x14ac:dyDescent="0.25">
      <c r="B101" s="92"/>
      <c r="C101" s="93">
        <v>94</v>
      </c>
      <c r="D101" s="107" t="s">
        <v>133</v>
      </c>
      <c r="E101" s="108">
        <f>VLOOKUP(D101,База!$A$4:$X$177,7,0)</f>
        <v>95982</v>
      </c>
      <c r="F101" s="108">
        <f>VLOOKUP(D101,База!$A$4:$X$177,8,0)</f>
        <v>95982</v>
      </c>
      <c r="G101" s="87">
        <f>VLOOKUP(D101,База!$A$4:$O$177,15,FALSE)</f>
        <v>100</v>
      </c>
      <c r="H101" s="108">
        <f>VLOOKUP(D101,База!$A$4:$AE$177,31,FALSE)</f>
        <v>86907</v>
      </c>
      <c r="I101" s="108">
        <f>VLOOKUP(D101,База!$A$4:$AF$177,32,FALSE)</f>
        <v>86907</v>
      </c>
      <c r="J101" s="87">
        <f>VLOOKUP(D101,База!$A$4:$AG$177,33,FALSE)</f>
        <v>100</v>
      </c>
      <c r="K101" s="108">
        <f>VLOOKUP(D101,База!$A$4:$V$177,22,FALSE)</f>
        <v>51087</v>
      </c>
      <c r="L101" s="108">
        <f>VLOOKUP(D101,База!$A$4:$W$177,23,FALSE)</f>
        <v>51087</v>
      </c>
      <c r="M101" s="87">
        <f>VLOOKUP(D101,База!$A$4:$X$177,24,0)</f>
        <v>100</v>
      </c>
      <c r="N101" s="95"/>
    </row>
    <row r="102" spans="2:14" x14ac:dyDescent="0.25">
      <c r="B102" s="92"/>
      <c r="C102" s="93">
        <v>95</v>
      </c>
      <c r="D102" s="109" t="s">
        <v>160</v>
      </c>
      <c r="E102" s="108">
        <f>VLOOKUP(D102,База!$A$4:$X$177,7,0)</f>
        <v>124910</v>
      </c>
      <c r="F102" s="108">
        <f>VLOOKUP(D102,База!$A$4:$X$177,8,0)</f>
        <v>124910</v>
      </c>
      <c r="G102" s="87">
        <f>VLOOKUP(D102,База!$A$4:$O$177,15,FALSE)</f>
        <v>100</v>
      </c>
      <c r="H102" s="108">
        <f>VLOOKUP(D102,База!$A$4:$AE$177,31,FALSE)</f>
        <v>111433</v>
      </c>
      <c r="I102" s="108">
        <f>VLOOKUP(D102,База!$A$4:$AF$177,32,FALSE)</f>
        <v>111433</v>
      </c>
      <c r="J102" s="87">
        <f>VLOOKUP(D102,База!$A$4:$AG$177,33,FALSE)</f>
        <v>100</v>
      </c>
      <c r="K102" s="108">
        <f>VLOOKUP(D102,База!$A$4:$V$177,22,FALSE)</f>
        <v>49975</v>
      </c>
      <c r="L102" s="108">
        <f>VLOOKUP(D102,База!$A$4:$W$177,23,FALSE)</f>
        <v>49975</v>
      </c>
      <c r="M102" s="87">
        <f>VLOOKUP(D102,База!$A$4:$X$177,24,0)</f>
        <v>100</v>
      </c>
      <c r="N102" s="95"/>
    </row>
    <row r="103" spans="2:14" x14ac:dyDescent="0.25">
      <c r="B103" s="92"/>
      <c r="C103" s="93">
        <v>96</v>
      </c>
      <c r="D103" s="109" t="s">
        <v>130</v>
      </c>
      <c r="E103" s="108">
        <f>VLOOKUP(D103,База!$A$4:$X$177,7,0)</f>
        <v>71579</v>
      </c>
      <c r="F103" s="108">
        <f>VLOOKUP(D103,База!$A$4:$X$177,8,0)</f>
        <v>71579</v>
      </c>
      <c r="G103" s="87">
        <f>VLOOKUP(D103,База!$A$4:$O$177,15,FALSE)</f>
        <v>100</v>
      </c>
      <c r="H103" s="108">
        <f>VLOOKUP(D103,База!$A$4:$AE$177,31,FALSE)</f>
        <v>66759</v>
      </c>
      <c r="I103" s="108">
        <f>VLOOKUP(D103,База!$A$4:$AF$177,32,FALSE)</f>
        <v>66759</v>
      </c>
      <c r="J103" s="87">
        <f>VLOOKUP(D103,База!$A$4:$AG$177,33,FALSE)</f>
        <v>100</v>
      </c>
      <c r="K103" s="108">
        <f>VLOOKUP(D103,База!$A$4:$V$177,22,FALSE)</f>
        <v>46273</v>
      </c>
      <c r="L103" s="108">
        <f>VLOOKUP(D103,База!$A$4:$W$177,23,FALSE)</f>
        <v>46273</v>
      </c>
      <c r="M103" s="87">
        <f>VLOOKUP(D103,База!$A$4:$X$177,24,0)</f>
        <v>100</v>
      </c>
      <c r="N103" s="95"/>
    </row>
    <row r="104" spans="2:14" x14ac:dyDescent="0.25">
      <c r="B104" s="92"/>
      <c r="C104" s="93">
        <v>97</v>
      </c>
      <c r="D104" s="107" t="s">
        <v>300</v>
      </c>
      <c r="E104" s="108">
        <f>VLOOKUP(D104,База!$A$4:$X$177,7,0)</f>
        <v>75496</v>
      </c>
      <c r="F104" s="108">
        <f>VLOOKUP(D104,База!$A$4:$X$177,8,0)</f>
        <v>75496</v>
      </c>
      <c r="G104" s="87">
        <f>VLOOKUP(D104,База!$A$4:$O$177,15,FALSE)</f>
        <v>100</v>
      </c>
      <c r="H104" s="108">
        <f>VLOOKUP(D104,База!$A$4:$AE$177,31,FALSE)</f>
        <v>71811</v>
      </c>
      <c r="I104" s="108">
        <f>VLOOKUP(D104,База!$A$4:$AF$177,32,FALSE)</f>
        <v>71811</v>
      </c>
      <c r="J104" s="87">
        <f>VLOOKUP(D104,База!$A$4:$AG$177,33,FALSE)</f>
        <v>100</v>
      </c>
      <c r="K104" s="108">
        <f>VLOOKUP(D104,База!$A$4:$V$177,22,FALSE)</f>
        <v>45927</v>
      </c>
      <c r="L104" s="108">
        <f>VLOOKUP(D104,База!$A$4:$W$177,23,FALSE)</f>
        <v>45927</v>
      </c>
      <c r="M104" s="87">
        <f>VLOOKUP(D104,База!$A$4:$X$177,24,0)</f>
        <v>100</v>
      </c>
      <c r="N104" s="95"/>
    </row>
    <row r="105" spans="2:14" x14ac:dyDescent="0.25">
      <c r="B105" s="92"/>
      <c r="C105" s="93">
        <v>98</v>
      </c>
      <c r="D105" s="109" t="s">
        <v>197</v>
      </c>
      <c r="E105" s="108">
        <f>VLOOKUP(D105,База!$A$4:$X$177,7,0)</f>
        <v>74638</v>
      </c>
      <c r="F105" s="108">
        <f>VLOOKUP(D105,База!$A$4:$X$177,8,0)</f>
        <v>74638</v>
      </c>
      <c r="G105" s="87">
        <f>VLOOKUP(D105,База!$A$4:$O$177,15,FALSE)</f>
        <v>100</v>
      </c>
      <c r="H105" s="108">
        <f>VLOOKUP(D105,База!$A$4:$AE$177,31,FALSE)</f>
        <v>72418</v>
      </c>
      <c r="I105" s="108">
        <f>VLOOKUP(D105,База!$A$4:$AF$177,32,FALSE)</f>
        <v>72418</v>
      </c>
      <c r="J105" s="87">
        <f>VLOOKUP(D105,База!$A$4:$AG$177,33,FALSE)</f>
        <v>100</v>
      </c>
      <c r="K105" s="108">
        <f>VLOOKUP(D105,База!$A$4:$V$177,22,FALSE)</f>
        <v>45040</v>
      </c>
      <c r="L105" s="108">
        <f>VLOOKUP(D105,База!$A$4:$W$177,23,FALSE)</f>
        <v>45040</v>
      </c>
      <c r="M105" s="87">
        <f>VLOOKUP(D105,База!$A$4:$X$177,24,0)</f>
        <v>100</v>
      </c>
      <c r="N105" s="95"/>
    </row>
    <row r="106" spans="2:14" x14ac:dyDescent="0.25">
      <c r="B106" s="92"/>
      <c r="C106" s="93">
        <v>99</v>
      </c>
      <c r="D106" s="109" t="s">
        <v>192</v>
      </c>
      <c r="E106" s="108">
        <f>VLOOKUP(D106,База!$A$4:$X$177,7,0)</f>
        <v>82064</v>
      </c>
      <c r="F106" s="108">
        <f>VLOOKUP(D106,База!$A$4:$X$177,8,0)</f>
        <v>82064</v>
      </c>
      <c r="G106" s="87">
        <f>VLOOKUP(D106,База!$A$4:$O$177,15,FALSE)</f>
        <v>100</v>
      </c>
      <c r="H106" s="108">
        <f>VLOOKUP(D106,База!$A$4:$AE$177,31,FALSE)</f>
        <v>80732</v>
      </c>
      <c r="I106" s="108">
        <f>VLOOKUP(D106,База!$A$4:$AF$177,32,FALSE)</f>
        <v>80732</v>
      </c>
      <c r="J106" s="87">
        <f>VLOOKUP(D106,База!$A$4:$AG$177,33,FALSE)</f>
        <v>100</v>
      </c>
      <c r="K106" s="108">
        <f>VLOOKUP(D106,База!$A$4:$V$177,22,FALSE)</f>
        <v>44552</v>
      </c>
      <c r="L106" s="108">
        <f>VLOOKUP(D106,База!$A$4:$W$177,23,FALSE)</f>
        <v>44552</v>
      </c>
      <c r="M106" s="87">
        <f>VLOOKUP(D106,База!$A$4:$X$177,24,0)</f>
        <v>100</v>
      </c>
      <c r="N106" s="95"/>
    </row>
    <row r="107" spans="2:14" x14ac:dyDescent="0.25">
      <c r="B107" s="92"/>
      <c r="C107" s="93">
        <v>100</v>
      </c>
      <c r="D107" s="109" t="s">
        <v>308</v>
      </c>
      <c r="E107" s="108">
        <f>VLOOKUP(D107,База!$A$4:$X$177,7,0)</f>
        <v>74376</v>
      </c>
      <c r="F107" s="108">
        <f>VLOOKUP(D107,База!$A$4:$X$177,8,0)</f>
        <v>74376</v>
      </c>
      <c r="G107" s="87">
        <f>VLOOKUP(D107,База!$A$4:$O$177,15,FALSE)</f>
        <v>100</v>
      </c>
      <c r="H107" s="108">
        <f>VLOOKUP(D107,База!$A$4:$AE$177,31,FALSE)</f>
        <v>66921</v>
      </c>
      <c r="I107" s="108">
        <f>VLOOKUP(D107,База!$A$4:$AF$177,32,FALSE)</f>
        <v>66921</v>
      </c>
      <c r="J107" s="87">
        <f>VLOOKUP(D107,База!$A$4:$AG$177,33,FALSE)</f>
        <v>100</v>
      </c>
      <c r="K107" s="108">
        <f>VLOOKUP(D107,База!$A$4:$V$177,22,FALSE)</f>
        <v>44343</v>
      </c>
      <c r="L107" s="108">
        <f>VLOOKUP(D107,База!$A$4:$W$177,23,FALSE)</f>
        <v>44343</v>
      </c>
      <c r="M107" s="87">
        <f>VLOOKUP(D107,База!$A$4:$X$177,24,0)</f>
        <v>100</v>
      </c>
      <c r="N107" s="95"/>
    </row>
    <row r="108" spans="2:14" x14ac:dyDescent="0.25">
      <c r="B108" s="92"/>
      <c r="C108" s="93">
        <v>101</v>
      </c>
      <c r="D108" s="107" t="s">
        <v>139</v>
      </c>
      <c r="E108" s="108">
        <f>VLOOKUP(D108,База!$A$4:$X$177,7,0)</f>
        <v>82265</v>
      </c>
      <c r="F108" s="108">
        <f>VLOOKUP(D108,База!$A$4:$X$177,8,0)</f>
        <v>82265</v>
      </c>
      <c r="G108" s="87">
        <f>VLOOKUP(D108,База!$A$4:$O$177,15,FALSE)</f>
        <v>100</v>
      </c>
      <c r="H108" s="108">
        <f>VLOOKUP(D108,База!$A$4:$AE$177,31,FALSE)</f>
        <v>80652</v>
      </c>
      <c r="I108" s="108">
        <f>VLOOKUP(D108,База!$A$4:$AF$177,32,FALSE)</f>
        <v>80652</v>
      </c>
      <c r="J108" s="87">
        <f>VLOOKUP(D108,База!$A$4:$AG$177,33,FALSE)</f>
        <v>100</v>
      </c>
      <c r="K108" s="108">
        <f>VLOOKUP(D108,База!$A$4:$V$177,22,FALSE)</f>
        <v>42798</v>
      </c>
      <c r="L108" s="108">
        <f>VLOOKUP(D108,База!$A$4:$W$177,23,FALSE)</f>
        <v>42798</v>
      </c>
      <c r="M108" s="87">
        <f>VLOOKUP(D108,База!$A$4:$X$177,24,0)</f>
        <v>100</v>
      </c>
      <c r="N108" s="95"/>
    </row>
    <row r="109" spans="2:14" x14ac:dyDescent="0.25">
      <c r="B109" s="92"/>
      <c r="C109" s="93">
        <v>102</v>
      </c>
      <c r="D109" s="107" t="s">
        <v>302</v>
      </c>
      <c r="E109" s="108">
        <f>VLOOKUP(D109,База!$A$4:$X$177,7,0)</f>
        <v>68181</v>
      </c>
      <c r="F109" s="108">
        <f>VLOOKUP(D109,База!$A$4:$X$177,8,0)</f>
        <v>68181</v>
      </c>
      <c r="G109" s="87">
        <f>VLOOKUP(D109,База!$A$4:$O$177,15,FALSE)</f>
        <v>100</v>
      </c>
      <c r="H109" s="108">
        <f>VLOOKUP(D109,База!$A$4:$AE$177,31,FALSE)</f>
        <v>63613</v>
      </c>
      <c r="I109" s="108">
        <f>VLOOKUP(D109,База!$A$4:$AF$177,32,FALSE)</f>
        <v>63613</v>
      </c>
      <c r="J109" s="87">
        <f>VLOOKUP(D109,База!$A$4:$AG$177,33,FALSE)</f>
        <v>100</v>
      </c>
      <c r="K109" s="108">
        <f>VLOOKUP(D109,База!$A$4:$V$177,22,FALSE)</f>
        <v>42663</v>
      </c>
      <c r="L109" s="108">
        <f>VLOOKUP(D109,База!$A$4:$W$177,23,FALSE)</f>
        <v>42663</v>
      </c>
      <c r="M109" s="87">
        <f>VLOOKUP(D109,База!$A$4:$X$177,24,0)</f>
        <v>100</v>
      </c>
      <c r="N109" s="95"/>
    </row>
    <row r="110" spans="2:14" x14ac:dyDescent="0.25">
      <c r="B110" s="92"/>
      <c r="C110" s="93">
        <v>103</v>
      </c>
      <c r="D110" s="107" t="s">
        <v>292</v>
      </c>
      <c r="E110" s="108">
        <f>VLOOKUP(D110,База!$A$4:$X$177,7,0)</f>
        <v>95001</v>
      </c>
      <c r="F110" s="108">
        <f>VLOOKUP(D110,База!$A$4:$X$177,8,0)</f>
        <v>95001</v>
      </c>
      <c r="G110" s="87">
        <f>VLOOKUP(D110,База!$A$4:$O$177,15,FALSE)</f>
        <v>100</v>
      </c>
      <c r="H110" s="108">
        <f>VLOOKUP(D110,База!$A$4:$AE$177,31,FALSE)</f>
        <v>69162</v>
      </c>
      <c r="I110" s="108">
        <f>VLOOKUP(D110,База!$A$4:$AF$177,32,FALSE)</f>
        <v>69162</v>
      </c>
      <c r="J110" s="87">
        <f>VLOOKUP(D110,База!$A$4:$AG$177,33,FALSE)</f>
        <v>100</v>
      </c>
      <c r="K110" s="108">
        <f>VLOOKUP(D110,База!$A$4:$V$177,22,FALSE)</f>
        <v>42482</v>
      </c>
      <c r="L110" s="108">
        <f>VLOOKUP(D110,База!$A$4:$W$177,23,FALSE)</f>
        <v>42482</v>
      </c>
      <c r="M110" s="87">
        <f>VLOOKUP(D110,База!$A$4:$X$177,24,0)</f>
        <v>100</v>
      </c>
      <c r="N110" s="95"/>
    </row>
    <row r="111" spans="2:14" x14ac:dyDescent="0.25">
      <c r="B111" s="92"/>
      <c r="C111" s="93">
        <v>104</v>
      </c>
      <c r="D111" s="107" t="s">
        <v>208</v>
      </c>
      <c r="E111" s="108">
        <f>VLOOKUP(D111,База!$A$4:$X$177,7,0)</f>
        <v>105646</v>
      </c>
      <c r="F111" s="108">
        <f>VLOOKUP(D111,База!$A$4:$X$177,8,0)</f>
        <v>105646</v>
      </c>
      <c r="G111" s="87">
        <f>VLOOKUP(D111,База!$A$4:$O$177,15,FALSE)</f>
        <v>100</v>
      </c>
      <c r="H111" s="108">
        <f>VLOOKUP(D111,База!$A$4:$AE$177,31,FALSE)</f>
        <v>75941</v>
      </c>
      <c r="I111" s="108">
        <f>VLOOKUP(D111,База!$A$4:$AF$177,32,FALSE)</f>
        <v>75941</v>
      </c>
      <c r="J111" s="87">
        <f>VLOOKUP(D111,База!$A$4:$AG$177,33,FALSE)</f>
        <v>100</v>
      </c>
      <c r="K111" s="108">
        <f>VLOOKUP(D111,База!$A$4:$V$177,22,FALSE)</f>
        <v>42438</v>
      </c>
      <c r="L111" s="108">
        <f>VLOOKUP(D111,База!$A$4:$W$177,23,FALSE)</f>
        <v>42438</v>
      </c>
      <c r="M111" s="87">
        <f>VLOOKUP(D111,База!$A$4:$X$177,24,0)</f>
        <v>100</v>
      </c>
      <c r="N111" s="95"/>
    </row>
    <row r="112" spans="2:14" x14ac:dyDescent="0.25">
      <c r="B112" s="92"/>
      <c r="C112" s="93">
        <v>105</v>
      </c>
      <c r="D112" s="107" t="s">
        <v>188</v>
      </c>
      <c r="E112" s="108">
        <f>VLOOKUP(D112,База!$A$4:$X$177,7,0)</f>
        <v>97954</v>
      </c>
      <c r="F112" s="108">
        <f>VLOOKUP(D112,База!$A$4:$X$177,8,0)</f>
        <v>97954</v>
      </c>
      <c r="G112" s="87">
        <f>VLOOKUP(D112,База!$A$4:$O$177,15,FALSE)</f>
        <v>100</v>
      </c>
      <c r="H112" s="108">
        <f>VLOOKUP(D112,База!$A$4:$AE$177,31,FALSE)</f>
        <v>81131</v>
      </c>
      <c r="I112" s="108">
        <f>VLOOKUP(D112,База!$A$4:$AF$177,32,FALSE)</f>
        <v>81131</v>
      </c>
      <c r="J112" s="87">
        <f>VLOOKUP(D112,База!$A$4:$AG$177,33,FALSE)</f>
        <v>100</v>
      </c>
      <c r="K112" s="108">
        <f>VLOOKUP(D112,База!$A$4:$V$177,22,FALSE)</f>
        <v>42251</v>
      </c>
      <c r="L112" s="108">
        <f>VLOOKUP(D112,База!$A$4:$W$177,23,FALSE)</f>
        <v>42251</v>
      </c>
      <c r="M112" s="87">
        <f>VLOOKUP(D112,База!$A$4:$X$177,24,0)</f>
        <v>100</v>
      </c>
      <c r="N112" s="95"/>
    </row>
    <row r="113" spans="2:14" x14ac:dyDescent="0.25">
      <c r="B113" s="92"/>
      <c r="C113" s="93">
        <v>106</v>
      </c>
      <c r="D113" s="109" t="s">
        <v>124</v>
      </c>
      <c r="E113" s="108">
        <f>VLOOKUP(D113,База!$A$4:$X$177,7,0)</f>
        <v>75768</v>
      </c>
      <c r="F113" s="108">
        <f>VLOOKUP(D113,База!$A$4:$X$177,8,0)</f>
        <v>75768</v>
      </c>
      <c r="G113" s="87">
        <f>VLOOKUP(D113,База!$A$4:$O$177,15,FALSE)</f>
        <v>100</v>
      </c>
      <c r="H113" s="108">
        <f>VLOOKUP(D113,База!$A$4:$AE$177,31,FALSE)</f>
        <v>70853</v>
      </c>
      <c r="I113" s="108">
        <f>VLOOKUP(D113,База!$A$4:$AF$177,32,FALSE)</f>
        <v>70853</v>
      </c>
      <c r="J113" s="87">
        <f>VLOOKUP(D113,База!$A$4:$AG$177,33,FALSE)</f>
        <v>100</v>
      </c>
      <c r="K113" s="108">
        <f>VLOOKUP(D113,База!$A$4:$V$177,22,FALSE)</f>
        <v>41479</v>
      </c>
      <c r="L113" s="108">
        <f>VLOOKUP(D113,База!$A$4:$W$177,23,FALSE)</f>
        <v>41479</v>
      </c>
      <c r="M113" s="87">
        <f>VLOOKUP(D113,База!$A$4:$X$177,24,0)</f>
        <v>100</v>
      </c>
      <c r="N113" s="95"/>
    </row>
    <row r="114" spans="2:14" x14ac:dyDescent="0.25">
      <c r="B114" s="92"/>
      <c r="C114" s="93">
        <v>107</v>
      </c>
      <c r="D114" s="107" t="s">
        <v>171</v>
      </c>
      <c r="E114" s="108">
        <f>VLOOKUP(D114,База!$A$4:$X$177,7,0)</f>
        <v>60755</v>
      </c>
      <c r="F114" s="108">
        <f>VLOOKUP(D114,База!$A$4:$X$177,8,0)</f>
        <v>60755</v>
      </c>
      <c r="G114" s="87">
        <f>VLOOKUP(D114,База!$A$4:$O$177,15,FALSE)</f>
        <v>100</v>
      </c>
      <c r="H114" s="108">
        <f>VLOOKUP(D114,База!$A$4:$AE$177,31,FALSE)</f>
        <v>57659</v>
      </c>
      <c r="I114" s="108">
        <f>VLOOKUP(D114,База!$A$4:$AF$177,32,FALSE)</f>
        <v>57659</v>
      </c>
      <c r="J114" s="87">
        <f>VLOOKUP(D114,База!$A$4:$AG$177,33,FALSE)</f>
        <v>100</v>
      </c>
      <c r="K114" s="108">
        <f>VLOOKUP(D114,База!$A$4:$V$177,22,FALSE)</f>
        <v>41113</v>
      </c>
      <c r="L114" s="108">
        <f>VLOOKUP(D114,База!$A$4:$W$177,23,FALSE)</f>
        <v>41113</v>
      </c>
      <c r="M114" s="87">
        <f>VLOOKUP(D114,База!$A$4:$X$177,24,0)</f>
        <v>100</v>
      </c>
      <c r="N114" s="95"/>
    </row>
    <row r="115" spans="2:14" x14ac:dyDescent="0.25">
      <c r="B115" s="92"/>
      <c r="C115" s="93">
        <v>108</v>
      </c>
      <c r="D115" s="109" t="s">
        <v>298</v>
      </c>
      <c r="E115" s="108">
        <f>VLOOKUP(D115,База!$A$4:$X$177,7,0)</f>
        <v>77253</v>
      </c>
      <c r="F115" s="108">
        <f>VLOOKUP(D115,База!$A$4:$X$177,8,0)</f>
        <v>77253</v>
      </c>
      <c r="G115" s="87">
        <f>VLOOKUP(D115,База!$A$4:$O$177,15,FALSE)</f>
        <v>100</v>
      </c>
      <c r="H115" s="108">
        <f>VLOOKUP(D115,База!$A$4:$AE$177,31,FALSE)</f>
        <v>77253</v>
      </c>
      <c r="I115" s="108">
        <f>VLOOKUP(D115,База!$A$4:$AF$177,32,FALSE)</f>
        <v>77253</v>
      </c>
      <c r="J115" s="87">
        <f>VLOOKUP(D115,База!$A$4:$AG$177,33,FALSE)</f>
        <v>100</v>
      </c>
      <c r="K115" s="108">
        <f>VLOOKUP(D115,База!$A$4:$V$177,22,FALSE)</f>
        <v>40727</v>
      </c>
      <c r="L115" s="108">
        <f>VLOOKUP(D115,База!$A$4:$W$177,23,FALSE)</f>
        <v>40727</v>
      </c>
      <c r="M115" s="87">
        <f>VLOOKUP(D115,База!$A$4:$X$177,24,0)</f>
        <v>100</v>
      </c>
      <c r="N115" s="95"/>
    </row>
    <row r="116" spans="2:14" x14ac:dyDescent="0.25">
      <c r="B116" s="92"/>
      <c r="C116" s="93">
        <v>109</v>
      </c>
      <c r="D116" s="107" t="s">
        <v>295</v>
      </c>
      <c r="E116" s="108">
        <f>VLOOKUP(D116,База!$A$4:$X$177,7,0)</f>
        <v>91860</v>
      </c>
      <c r="F116" s="108">
        <f>VLOOKUP(D116,База!$A$4:$X$177,8,0)</f>
        <v>91860</v>
      </c>
      <c r="G116" s="87">
        <f>VLOOKUP(D116,База!$A$4:$O$177,15,FALSE)</f>
        <v>100</v>
      </c>
      <c r="H116" s="108">
        <f>VLOOKUP(D116,База!$A$4:$AE$177,31,FALSE)</f>
        <v>81233</v>
      </c>
      <c r="I116" s="108">
        <f>VLOOKUP(D116,База!$A$4:$AF$177,32,FALSE)</f>
        <v>81233</v>
      </c>
      <c r="J116" s="87">
        <f>VLOOKUP(D116,База!$A$4:$AG$177,33,FALSE)</f>
        <v>100</v>
      </c>
      <c r="K116" s="108">
        <f>VLOOKUP(D116,База!$A$4:$V$177,22,FALSE)</f>
        <v>40601</v>
      </c>
      <c r="L116" s="108">
        <f>VLOOKUP(D116,База!$A$4:$W$177,23,FALSE)</f>
        <v>40601</v>
      </c>
      <c r="M116" s="87">
        <f>VLOOKUP(D116,База!$A$4:$X$177,24,0)</f>
        <v>100</v>
      </c>
      <c r="N116" s="95"/>
    </row>
    <row r="117" spans="2:14" x14ac:dyDescent="0.25">
      <c r="B117" s="92"/>
      <c r="C117" s="93">
        <v>110</v>
      </c>
      <c r="D117" s="107" t="s">
        <v>117</v>
      </c>
      <c r="E117" s="108">
        <f>VLOOKUP(D117,База!$A$4:$X$177,7,0)</f>
        <v>77706</v>
      </c>
      <c r="F117" s="108">
        <f>VLOOKUP(D117,База!$A$4:$X$177,8,0)</f>
        <v>77706</v>
      </c>
      <c r="G117" s="87">
        <f>VLOOKUP(D117,База!$A$4:$O$177,15,FALSE)</f>
        <v>100</v>
      </c>
      <c r="H117" s="108">
        <f>VLOOKUP(D117,База!$A$4:$AE$177,31,FALSE)</f>
        <v>68974</v>
      </c>
      <c r="I117" s="108">
        <f>VLOOKUP(D117,База!$A$4:$AF$177,32,FALSE)</f>
        <v>68974</v>
      </c>
      <c r="J117" s="87">
        <f>VLOOKUP(D117,База!$A$4:$AG$177,33,FALSE)</f>
        <v>100</v>
      </c>
      <c r="K117" s="108">
        <f>VLOOKUP(D117,База!$A$4:$V$177,22,FALSE)</f>
        <v>39791</v>
      </c>
      <c r="L117" s="108">
        <f>VLOOKUP(D117,База!$A$4:$W$177,23,FALSE)</f>
        <v>39791</v>
      </c>
      <c r="M117" s="87">
        <f>VLOOKUP(D117,База!$A$4:$X$177,24,0)</f>
        <v>100</v>
      </c>
      <c r="N117" s="95"/>
    </row>
    <row r="118" spans="2:14" x14ac:dyDescent="0.25">
      <c r="B118" s="92"/>
      <c r="C118" s="93">
        <v>111</v>
      </c>
      <c r="D118" s="109" t="s">
        <v>185</v>
      </c>
      <c r="E118" s="108">
        <f>VLOOKUP(D118,База!$A$4:$X$177,7,0)</f>
        <v>101643</v>
      </c>
      <c r="F118" s="108">
        <f>VLOOKUP(D118,База!$A$4:$X$177,8,0)</f>
        <v>101643</v>
      </c>
      <c r="G118" s="87">
        <f>VLOOKUP(D118,База!$A$4:$O$177,15,FALSE)</f>
        <v>100</v>
      </c>
      <c r="H118" s="108">
        <f>VLOOKUP(D118,База!$A$4:$AE$177,31,FALSE)</f>
        <v>90390</v>
      </c>
      <c r="I118" s="108">
        <f>VLOOKUP(D118,База!$A$4:$AF$177,32,FALSE)</f>
        <v>90390</v>
      </c>
      <c r="J118" s="87">
        <f>VLOOKUP(D118,База!$A$4:$AG$177,33,FALSE)</f>
        <v>100</v>
      </c>
      <c r="K118" s="108">
        <f>VLOOKUP(D118,База!$A$4:$V$177,22,FALSE)</f>
        <v>39237</v>
      </c>
      <c r="L118" s="108">
        <f>VLOOKUP(D118,База!$A$4:$W$177,23,FALSE)</f>
        <v>39237</v>
      </c>
      <c r="M118" s="87">
        <f>VLOOKUP(D118,База!$A$4:$X$177,24,0)</f>
        <v>100</v>
      </c>
      <c r="N118" s="95"/>
    </row>
    <row r="119" spans="2:14" x14ac:dyDescent="0.25">
      <c r="B119" s="92"/>
      <c r="C119" s="93">
        <v>112</v>
      </c>
      <c r="D119" s="107" t="s">
        <v>301</v>
      </c>
      <c r="E119" s="108">
        <f>VLOOKUP(D119,База!$A$4:$X$177,7,0)</f>
        <v>74595</v>
      </c>
      <c r="F119" s="108">
        <f>VLOOKUP(D119,База!$A$4:$X$177,8,0)</f>
        <v>74595</v>
      </c>
      <c r="G119" s="87">
        <f>VLOOKUP(D119,База!$A$4:$O$177,15,FALSE)</f>
        <v>100</v>
      </c>
      <c r="H119" s="108">
        <f>VLOOKUP(D119,База!$A$4:$AE$177,31,FALSE)</f>
        <v>72494</v>
      </c>
      <c r="I119" s="108">
        <f>VLOOKUP(D119,База!$A$4:$AF$177,32,FALSE)</f>
        <v>72494</v>
      </c>
      <c r="J119" s="87">
        <f>VLOOKUP(D119,База!$A$4:$AG$177,33,FALSE)</f>
        <v>100</v>
      </c>
      <c r="K119" s="108">
        <f>VLOOKUP(D119,База!$A$4:$V$177,22,FALSE)</f>
        <v>39166</v>
      </c>
      <c r="L119" s="108">
        <f>VLOOKUP(D119,База!$A$4:$W$177,23,FALSE)</f>
        <v>39166</v>
      </c>
      <c r="M119" s="87">
        <f>VLOOKUP(D119,База!$A$4:$X$177,24,0)</f>
        <v>100</v>
      </c>
      <c r="N119" s="95"/>
    </row>
    <row r="120" spans="2:14" x14ac:dyDescent="0.25">
      <c r="B120" s="92"/>
      <c r="C120" s="93">
        <v>113</v>
      </c>
      <c r="D120" s="107" t="s">
        <v>286</v>
      </c>
      <c r="E120" s="108">
        <f>VLOOKUP(D120,База!$A$4:$X$177,7,0)</f>
        <v>115438</v>
      </c>
      <c r="F120" s="108">
        <f>VLOOKUP(D120,База!$A$4:$X$177,8,0)</f>
        <v>115438</v>
      </c>
      <c r="G120" s="87">
        <f>VLOOKUP(D120,База!$A$4:$O$177,15,FALSE)</f>
        <v>100</v>
      </c>
      <c r="H120" s="108">
        <f>VLOOKUP(D120,База!$A$4:$AE$177,31,FALSE)</f>
        <v>77994</v>
      </c>
      <c r="I120" s="108">
        <f>VLOOKUP(D120,База!$A$4:$AF$177,32,FALSE)</f>
        <v>77994</v>
      </c>
      <c r="J120" s="87">
        <f>VLOOKUP(D120,База!$A$4:$AG$177,33,FALSE)</f>
        <v>100</v>
      </c>
      <c r="K120" s="108">
        <f>VLOOKUP(D120,База!$A$4:$V$177,22,FALSE)</f>
        <v>38689</v>
      </c>
      <c r="L120" s="108">
        <f>VLOOKUP(D120,База!$A$4:$W$177,23,FALSE)</f>
        <v>38689</v>
      </c>
      <c r="M120" s="87">
        <f>VLOOKUP(D120,База!$A$4:$X$177,24,0)</f>
        <v>100</v>
      </c>
      <c r="N120" s="95"/>
    </row>
    <row r="121" spans="2:14" x14ac:dyDescent="0.25">
      <c r="B121" s="92"/>
      <c r="C121" s="93">
        <v>114</v>
      </c>
      <c r="D121" s="107" t="s">
        <v>299</v>
      </c>
      <c r="E121" s="108">
        <f>VLOOKUP(D121,База!$A$4:$X$177,7,0)</f>
        <v>74327</v>
      </c>
      <c r="F121" s="108">
        <f>VLOOKUP(D121,База!$A$4:$X$177,8,0)</f>
        <v>74327</v>
      </c>
      <c r="G121" s="87">
        <f>VLOOKUP(D121,База!$A$4:$O$177,15,FALSE)</f>
        <v>100</v>
      </c>
      <c r="H121" s="108">
        <f>VLOOKUP(D121,База!$A$4:$AE$177,31,FALSE)</f>
        <v>71827</v>
      </c>
      <c r="I121" s="108">
        <f>VLOOKUP(D121,База!$A$4:$AF$177,32,FALSE)</f>
        <v>71827</v>
      </c>
      <c r="J121" s="87">
        <f>VLOOKUP(D121,База!$A$4:$AG$177,33,FALSE)</f>
        <v>100</v>
      </c>
      <c r="K121" s="108">
        <f>VLOOKUP(D121,База!$A$4:$V$177,22,FALSE)</f>
        <v>37967</v>
      </c>
      <c r="L121" s="108">
        <f>VLOOKUP(D121,База!$A$4:$W$177,23,FALSE)</f>
        <v>37967</v>
      </c>
      <c r="M121" s="87">
        <f>VLOOKUP(D121,База!$A$4:$X$177,24,0)</f>
        <v>100</v>
      </c>
      <c r="N121" s="95"/>
    </row>
    <row r="122" spans="2:14" x14ac:dyDescent="0.25">
      <c r="B122" s="92"/>
      <c r="C122" s="93">
        <v>115</v>
      </c>
      <c r="D122" s="107" t="s">
        <v>306</v>
      </c>
      <c r="E122" s="108">
        <f>VLOOKUP(D122,База!$A$4:$X$177,7,0)</f>
        <v>65093</v>
      </c>
      <c r="F122" s="108">
        <f>VLOOKUP(D122,База!$A$4:$X$177,8,0)</f>
        <v>65093</v>
      </c>
      <c r="G122" s="87">
        <f>VLOOKUP(D122,База!$A$4:$O$177,15,FALSE)</f>
        <v>100</v>
      </c>
      <c r="H122" s="108">
        <f>VLOOKUP(D122,База!$A$4:$AE$177,31,FALSE)</f>
        <v>64331</v>
      </c>
      <c r="I122" s="108">
        <f>VLOOKUP(D122,База!$A$4:$AF$177,32,FALSE)</f>
        <v>64331</v>
      </c>
      <c r="J122" s="87">
        <f>VLOOKUP(D122,База!$A$4:$AG$177,33,FALSE)</f>
        <v>100</v>
      </c>
      <c r="K122" s="108">
        <f>VLOOKUP(D122,База!$A$4:$V$177,22,FALSE)</f>
        <v>35953</v>
      </c>
      <c r="L122" s="108">
        <f>VLOOKUP(D122,База!$A$4:$W$177,23,FALSE)</f>
        <v>35953</v>
      </c>
      <c r="M122" s="87">
        <f>VLOOKUP(D122,База!$A$4:$X$177,24,0)</f>
        <v>100</v>
      </c>
      <c r="N122" s="95"/>
    </row>
    <row r="123" spans="2:14" x14ac:dyDescent="0.25">
      <c r="B123" s="92"/>
      <c r="C123" s="93">
        <v>116</v>
      </c>
      <c r="D123" s="107" t="s">
        <v>296</v>
      </c>
      <c r="E123" s="108">
        <f>VLOOKUP(D123,База!$A$4:$X$177,7,0)</f>
        <v>40717</v>
      </c>
      <c r="F123" s="108">
        <f>VLOOKUP(D123,База!$A$4:$X$177,8,0)</f>
        <v>40717</v>
      </c>
      <c r="G123" s="87">
        <f>VLOOKUP(D123,База!$A$4:$O$177,15,FALSE)</f>
        <v>100</v>
      </c>
      <c r="H123" s="108">
        <f>VLOOKUP(D123,База!$A$4:$AE$177,31,FALSE)</f>
        <v>39777</v>
      </c>
      <c r="I123" s="108">
        <f>VLOOKUP(D123,База!$A$4:$AF$177,32,FALSE)</f>
        <v>39777</v>
      </c>
      <c r="J123" s="87">
        <f>VLOOKUP(D123,База!$A$4:$AG$177,33,FALSE)</f>
        <v>100</v>
      </c>
      <c r="K123" s="108">
        <f>VLOOKUP(D123,База!$A$4:$V$177,22,FALSE)</f>
        <v>35608</v>
      </c>
      <c r="L123" s="108">
        <f>VLOOKUP(D123,База!$A$4:$W$177,23,FALSE)</f>
        <v>35608</v>
      </c>
      <c r="M123" s="87">
        <f>VLOOKUP(D123,База!$A$4:$X$177,24,0)</f>
        <v>100</v>
      </c>
      <c r="N123" s="95"/>
    </row>
    <row r="124" spans="2:14" x14ac:dyDescent="0.25">
      <c r="B124" s="92"/>
      <c r="C124" s="93">
        <v>117</v>
      </c>
      <c r="D124" s="109" t="s">
        <v>290</v>
      </c>
      <c r="E124" s="108">
        <f>VLOOKUP(D124,База!$A$4:$X$177,7,0)</f>
        <v>78494</v>
      </c>
      <c r="F124" s="108">
        <f>VLOOKUP(D124,База!$A$4:$X$177,8,0)</f>
        <v>78494</v>
      </c>
      <c r="G124" s="87">
        <f>VLOOKUP(D124,База!$A$4:$O$177,15,FALSE)</f>
        <v>100</v>
      </c>
      <c r="H124" s="108">
        <f>VLOOKUP(D124,База!$A$4:$AE$177,31,FALSE)</f>
        <v>62435</v>
      </c>
      <c r="I124" s="108">
        <f>VLOOKUP(D124,База!$A$4:$AF$177,32,FALSE)</f>
        <v>62435</v>
      </c>
      <c r="J124" s="87">
        <f>VLOOKUP(D124,База!$A$4:$AG$177,33,FALSE)</f>
        <v>100</v>
      </c>
      <c r="K124" s="108">
        <f>VLOOKUP(D124,База!$A$4:$V$177,22,FALSE)</f>
        <v>35567</v>
      </c>
      <c r="L124" s="108">
        <f>VLOOKUP(D124,База!$A$4:$W$177,23,FALSE)</f>
        <v>35567</v>
      </c>
      <c r="M124" s="87">
        <f>VLOOKUP(D124,База!$A$4:$X$177,24,0)</f>
        <v>100</v>
      </c>
      <c r="N124" s="95"/>
    </row>
    <row r="125" spans="2:14" x14ac:dyDescent="0.25">
      <c r="B125" s="92"/>
      <c r="C125" s="93">
        <v>118</v>
      </c>
      <c r="D125" s="107" t="s">
        <v>291</v>
      </c>
      <c r="E125" s="108">
        <f>VLOOKUP(D125,База!$A$4:$X$177,7,0)</f>
        <v>65081</v>
      </c>
      <c r="F125" s="108">
        <f>VLOOKUP(D125,База!$A$4:$X$177,8,0)</f>
        <v>65081</v>
      </c>
      <c r="G125" s="87">
        <f>VLOOKUP(D125,База!$A$4:$O$177,15,FALSE)</f>
        <v>100</v>
      </c>
      <c r="H125" s="108">
        <f>VLOOKUP(D125,База!$A$4:$AE$177,31,FALSE)</f>
        <v>56430</v>
      </c>
      <c r="I125" s="108">
        <f>VLOOKUP(D125,База!$A$4:$AF$177,32,FALSE)</f>
        <v>56430</v>
      </c>
      <c r="J125" s="87">
        <f>VLOOKUP(D125,База!$A$4:$AG$177,33,FALSE)</f>
        <v>100</v>
      </c>
      <c r="K125" s="108">
        <f>VLOOKUP(D125,База!$A$4:$V$177,22,FALSE)</f>
        <v>35323</v>
      </c>
      <c r="L125" s="108">
        <f>VLOOKUP(D125,База!$A$4:$W$177,23,FALSE)</f>
        <v>35323</v>
      </c>
      <c r="M125" s="87">
        <f>VLOOKUP(D125,База!$A$4:$X$177,24,0)</f>
        <v>100</v>
      </c>
      <c r="N125" s="95"/>
    </row>
    <row r="126" spans="2:14" x14ac:dyDescent="0.25">
      <c r="B126" s="92"/>
      <c r="C126" s="93">
        <v>119</v>
      </c>
      <c r="D126" s="107" t="s">
        <v>165</v>
      </c>
      <c r="E126" s="108">
        <f>VLOOKUP(D126,База!$A$4:$X$177,7,0)</f>
        <v>73728</v>
      </c>
      <c r="F126" s="108">
        <f>VLOOKUP(D126,База!$A$4:$X$177,8,0)</f>
        <v>73728</v>
      </c>
      <c r="G126" s="87">
        <f>VLOOKUP(D126,База!$A$4:$O$177,15,FALSE)</f>
        <v>100</v>
      </c>
      <c r="H126" s="108">
        <f>VLOOKUP(D126,База!$A$4:$AE$177,31,FALSE)</f>
        <v>68887</v>
      </c>
      <c r="I126" s="108">
        <f>VLOOKUP(D126,База!$A$4:$AF$177,32,FALSE)</f>
        <v>68887</v>
      </c>
      <c r="J126" s="87">
        <f>VLOOKUP(D126,База!$A$4:$AG$177,33,FALSE)</f>
        <v>100</v>
      </c>
      <c r="K126" s="108">
        <f>VLOOKUP(D126,База!$A$4:$V$177,22,FALSE)</f>
        <v>35168</v>
      </c>
      <c r="L126" s="108">
        <f>VLOOKUP(D126,База!$A$4:$W$177,23,FALSE)</f>
        <v>35168</v>
      </c>
      <c r="M126" s="87">
        <f>VLOOKUP(D126,База!$A$4:$X$177,24,0)</f>
        <v>100</v>
      </c>
      <c r="N126" s="95"/>
    </row>
    <row r="127" spans="2:14" x14ac:dyDescent="0.25">
      <c r="B127" s="92"/>
      <c r="C127" s="93">
        <v>120</v>
      </c>
      <c r="D127" s="107" t="s">
        <v>143</v>
      </c>
      <c r="E127" s="108">
        <f>VLOOKUP(D127,База!$A$4:$X$177,7,0)</f>
        <v>85704</v>
      </c>
      <c r="F127" s="108">
        <f>VLOOKUP(D127,База!$A$4:$X$177,8,0)</f>
        <v>85704</v>
      </c>
      <c r="G127" s="87">
        <f>VLOOKUP(D127,База!$A$4:$O$177,15,FALSE)</f>
        <v>100</v>
      </c>
      <c r="H127" s="108">
        <f>VLOOKUP(D127,База!$A$4:$AE$177,31,FALSE)</f>
        <v>83170</v>
      </c>
      <c r="I127" s="108">
        <f>VLOOKUP(D127,База!$A$4:$AF$177,32,FALSE)</f>
        <v>83170</v>
      </c>
      <c r="J127" s="87">
        <f>VLOOKUP(D127,База!$A$4:$AG$177,33,FALSE)</f>
        <v>100</v>
      </c>
      <c r="K127" s="108">
        <f>VLOOKUP(D127,База!$A$4:$V$177,22,FALSE)</f>
        <v>35144</v>
      </c>
      <c r="L127" s="108">
        <f>VLOOKUP(D127,База!$A$4:$W$177,23,FALSE)</f>
        <v>35144</v>
      </c>
      <c r="M127" s="87">
        <f>VLOOKUP(D127,База!$A$4:$X$177,24,0)</f>
        <v>100</v>
      </c>
      <c r="N127" s="95"/>
    </row>
    <row r="128" spans="2:14" x14ac:dyDescent="0.25">
      <c r="B128" s="92"/>
      <c r="C128" s="93">
        <v>121</v>
      </c>
      <c r="D128" s="109" t="s">
        <v>136</v>
      </c>
      <c r="E128" s="108">
        <f>VLOOKUP(D128,База!$A$4:$X$177,7,0)</f>
        <v>93142</v>
      </c>
      <c r="F128" s="108">
        <f>VLOOKUP(D128,База!$A$4:$X$177,8,0)</f>
        <v>93142</v>
      </c>
      <c r="G128" s="87">
        <f>VLOOKUP(D128,База!$A$4:$O$177,15,FALSE)</f>
        <v>100</v>
      </c>
      <c r="H128" s="108">
        <f>VLOOKUP(D128,База!$A$4:$AE$177,31,FALSE)</f>
        <v>81965</v>
      </c>
      <c r="I128" s="108">
        <f>VLOOKUP(D128,База!$A$4:$AF$177,32,FALSE)</f>
        <v>81965</v>
      </c>
      <c r="J128" s="87">
        <f>VLOOKUP(D128,База!$A$4:$AG$177,33,FALSE)</f>
        <v>100</v>
      </c>
      <c r="K128" s="108">
        <f>VLOOKUP(D128,База!$A$4:$V$177,22,FALSE)</f>
        <v>34933</v>
      </c>
      <c r="L128" s="108">
        <f>VLOOKUP(D128,База!$A$4:$W$177,23,FALSE)</f>
        <v>34933</v>
      </c>
      <c r="M128" s="87">
        <f>VLOOKUP(D128,База!$A$4:$X$177,24,0)</f>
        <v>100</v>
      </c>
      <c r="N128" s="95"/>
    </row>
    <row r="129" spans="2:14" x14ac:dyDescent="0.25">
      <c r="B129" s="92"/>
      <c r="C129" s="93">
        <v>122</v>
      </c>
      <c r="D129" s="109" t="s">
        <v>305</v>
      </c>
      <c r="E129" s="108">
        <f>VLOOKUP(D129,База!$A$4:$X$177,7,0)</f>
        <v>60572</v>
      </c>
      <c r="F129" s="108">
        <f>VLOOKUP(D129,База!$A$4:$X$177,8,0)</f>
        <v>60572</v>
      </c>
      <c r="G129" s="87">
        <f>VLOOKUP(D129,База!$A$4:$O$177,15,FALSE)</f>
        <v>100</v>
      </c>
      <c r="H129" s="108">
        <f>VLOOKUP(D129,База!$A$4:$AE$177,31,FALSE)</f>
        <v>60052</v>
      </c>
      <c r="I129" s="108">
        <f>VLOOKUP(D129,База!$A$4:$AF$177,32,FALSE)</f>
        <v>60052</v>
      </c>
      <c r="J129" s="87">
        <f>VLOOKUP(D129,База!$A$4:$AG$177,33,FALSE)</f>
        <v>100</v>
      </c>
      <c r="K129" s="108">
        <f>VLOOKUP(D129,База!$A$4:$V$177,22,FALSE)</f>
        <v>34488</v>
      </c>
      <c r="L129" s="108">
        <f>VLOOKUP(D129,База!$A$4:$W$177,23,FALSE)</f>
        <v>34488</v>
      </c>
      <c r="M129" s="87">
        <f>VLOOKUP(D129,База!$A$4:$X$177,24,0)</f>
        <v>100</v>
      </c>
      <c r="N129" s="95"/>
    </row>
    <row r="130" spans="2:14" x14ac:dyDescent="0.25">
      <c r="B130" s="92"/>
      <c r="C130" s="93">
        <v>123</v>
      </c>
      <c r="D130" s="107" t="s">
        <v>303</v>
      </c>
      <c r="E130" s="108">
        <f>VLOOKUP(D130,База!$A$4:$X$177,7,0)</f>
        <v>67216</v>
      </c>
      <c r="F130" s="108">
        <f>VLOOKUP(D130,База!$A$4:$X$177,8,0)</f>
        <v>67216</v>
      </c>
      <c r="G130" s="87">
        <f>VLOOKUP(D130,База!$A$4:$O$177,15,FALSE)</f>
        <v>100</v>
      </c>
      <c r="H130" s="108">
        <f>VLOOKUP(D130,База!$A$4:$AE$177,31,FALSE)</f>
        <v>57473</v>
      </c>
      <c r="I130" s="108">
        <f>VLOOKUP(D130,База!$A$4:$AF$177,32,FALSE)</f>
        <v>57473</v>
      </c>
      <c r="J130" s="87">
        <f>VLOOKUP(D130,База!$A$4:$AG$177,33,FALSE)</f>
        <v>100</v>
      </c>
      <c r="K130" s="108">
        <f>VLOOKUP(D130,База!$A$4:$V$177,22,FALSE)</f>
        <v>34443</v>
      </c>
      <c r="L130" s="108">
        <f>VLOOKUP(D130,База!$A$4:$W$177,23,FALSE)</f>
        <v>34443</v>
      </c>
      <c r="M130" s="87">
        <f>VLOOKUP(D130,База!$A$4:$X$177,24,0)</f>
        <v>100</v>
      </c>
      <c r="N130" s="95"/>
    </row>
    <row r="131" spans="2:14" x14ac:dyDescent="0.25">
      <c r="B131" s="92"/>
      <c r="C131" s="93">
        <v>124</v>
      </c>
      <c r="D131" s="109" t="s">
        <v>114</v>
      </c>
      <c r="E131" s="108">
        <f>VLOOKUP(D131,База!$A$4:$X$177,7,0)</f>
        <v>79692</v>
      </c>
      <c r="F131" s="108">
        <f>VLOOKUP(D131,База!$A$4:$X$177,8,0)</f>
        <v>79692</v>
      </c>
      <c r="G131" s="87">
        <f>VLOOKUP(D131,База!$A$4:$O$177,15,FALSE)</f>
        <v>100</v>
      </c>
      <c r="H131" s="108">
        <f>VLOOKUP(D131,База!$A$4:$AE$177,31,FALSE)</f>
        <v>67038</v>
      </c>
      <c r="I131" s="108">
        <f>VLOOKUP(D131,База!$A$4:$AF$177,32,FALSE)</f>
        <v>67038</v>
      </c>
      <c r="J131" s="87">
        <f>VLOOKUP(D131,База!$A$4:$AG$177,33,FALSE)</f>
        <v>100</v>
      </c>
      <c r="K131" s="108">
        <f>VLOOKUP(D131,База!$A$4:$V$177,22,FALSE)</f>
        <v>33849</v>
      </c>
      <c r="L131" s="108">
        <f>VLOOKUP(D131,База!$A$4:$W$177,23,FALSE)</f>
        <v>33849</v>
      </c>
      <c r="M131" s="87">
        <f>VLOOKUP(D131,База!$A$4:$X$177,24,0)</f>
        <v>100</v>
      </c>
      <c r="N131" s="95"/>
    </row>
    <row r="132" spans="2:14" x14ac:dyDescent="0.25">
      <c r="B132" s="92"/>
      <c r="C132" s="93">
        <v>125</v>
      </c>
      <c r="D132" s="107" t="s">
        <v>310</v>
      </c>
      <c r="E132" s="108">
        <f>VLOOKUP(D132,База!$A$4:$X$177,7,0)</f>
        <v>60160</v>
      </c>
      <c r="F132" s="108">
        <f>VLOOKUP(D132,База!$A$4:$X$177,8,0)</f>
        <v>60160</v>
      </c>
      <c r="G132" s="87">
        <f>VLOOKUP(D132,База!$A$4:$O$177,15,FALSE)</f>
        <v>100</v>
      </c>
      <c r="H132" s="108">
        <f>VLOOKUP(D132,База!$A$4:$AE$177,31,FALSE)</f>
        <v>58886</v>
      </c>
      <c r="I132" s="108">
        <f>VLOOKUP(D132,База!$A$4:$AF$177,32,FALSE)</f>
        <v>58886</v>
      </c>
      <c r="J132" s="87">
        <f>VLOOKUP(D132,База!$A$4:$AG$177,33,FALSE)</f>
        <v>100</v>
      </c>
      <c r="K132" s="108">
        <f>VLOOKUP(D132,База!$A$4:$V$177,22,FALSE)</f>
        <v>33450</v>
      </c>
      <c r="L132" s="108">
        <f>VLOOKUP(D132,База!$A$4:$W$177,23,FALSE)</f>
        <v>33450</v>
      </c>
      <c r="M132" s="87">
        <f>VLOOKUP(D132,База!$A$4:$X$177,24,0)</f>
        <v>100</v>
      </c>
      <c r="N132" s="95"/>
    </row>
    <row r="133" spans="2:14" x14ac:dyDescent="0.25">
      <c r="B133" s="92"/>
      <c r="C133" s="93">
        <v>126</v>
      </c>
      <c r="D133" s="107" t="s">
        <v>304</v>
      </c>
      <c r="E133" s="108">
        <f>VLOOKUP(D133,База!$A$4:$X$177,7,0)</f>
        <v>61404</v>
      </c>
      <c r="F133" s="108">
        <f>VLOOKUP(D133,База!$A$4:$X$177,8,0)</f>
        <v>61404</v>
      </c>
      <c r="G133" s="87">
        <f>VLOOKUP(D133,База!$A$4:$O$177,15,FALSE)</f>
        <v>100</v>
      </c>
      <c r="H133" s="108">
        <f>VLOOKUP(D133,База!$A$4:$AE$177,31,FALSE)</f>
        <v>52009</v>
      </c>
      <c r="I133" s="108">
        <f>VLOOKUP(D133,База!$A$4:$AF$177,32,FALSE)</f>
        <v>52009</v>
      </c>
      <c r="J133" s="87">
        <f>VLOOKUP(D133,База!$A$4:$AG$177,33,FALSE)</f>
        <v>100</v>
      </c>
      <c r="K133" s="108">
        <f>VLOOKUP(D133,База!$A$4:$V$177,22,FALSE)</f>
        <v>33336</v>
      </c>
      <c r="L133" s="108">
        <f>VLOOKUP(D133,База!$A$4:$W$177,23,FALSE)</f>
        <v>33336</v>
      </c>
      <c r="M133" s="87">
        <f>VLOOKUP(D133,База!$A$4:$X$177,24,0)</f>
        <v>100</v>
      </c>
      <c r="N133" s="95"/>
    </row>
    <row r="134" spans="2:14" x14ac:dyDescent="0.25">
      <c r="B134" s="92"/>
      <c r="C134" s="93">
        <v>127</v>
      </c>
      <c r="D134" s="107" t="s">
        <v>198</v>
      </c>
      <c r="E134" s="108">
        <f>VLOOKUP(D134,База!$A$4:$X$177,7,0)</f>
        <v>85253</v>
      </c>
      <c r="F134" s="108">
        <f>VLOOKUP(D134,База!$A$4:$X$177,8,0)</f>
        <v>85253</v>
      </c>
      <c r="G134" s="87">
        <f>VLOOKUP(D134,База!$A$4:$O$177,15,FALSE)</f>
        <v>100</v>
      </c>
      <c r="H134" s="108">
        <f>VLOOKUP(D134,База!$A$4:$AE$177,31,FALSE)</f>
        <v>59249</v>
      </c>
      <c r="I134" s="108">
        <f>VLOOKUP(D134,База!$A$4:$AF$177,32,FALSE)</f>
        <v>59249</v>
      </c>
      <c r="J134" s="87">
        <f>VLOOKUP(D134,База!$A$4:$AG$177,33,FALSE)</f>
        <v>100</v>
      </c>
      <c r="K134" s="108">
        <f>VLOOKUP(D134,База!$A$4:$V$177,22,FALSE)</f>
        <v>33276</v>
      </c>
      <c r="L134" s="108">
        <f>VLOOKUP(D134,База!$A$4:$W$177,23,FALSE)</f>
        <v>33276</v>
      </c>
      <c r="M134" s="87">
        <f>VLOOKUP(D134,База!$A$4:$X$177,24,0)</f>
        <v>100</v>
      </c>
      <c r="N134" s="95"/>
    </row>
    <row r="135" spans="2:14" x14ac:dyDescent="0.25">
      <c r="B135" s="92"/>
      <c r="C135" s="93">
        <v>128</v>
      </c>
      <c r="D135" s="107" t="s">
        <v>167</v>
      </c>
      <c r="E135" s="108">
        <f>VLOOKUP(D135,База!$A$4:$X$177,7,0)</f>
        <v>64730</v>
      </c>
      <c r="F135" s="108">
        <f>VLOOKUP(D135,База!$A$4:$X$177,8,0)</f>
        <v>64730</v>
      </c>
      <c r="G135" s="87">
        <f>VLOOKUP(D135,База!$A$4:$O$177,15,FALSE)</f>
        <v>100</v>
      </c>
      <c r="H135" s="108">
        <f>VLOOKUP(D135,База!$A$4:$AE$177,31,FALSE)</f>
        <v>64284</v>
      </c>
      <c r="I135" s="108">
        <f>VLOOKUP(D135,База!$A$4:$AF$177,32,FALSE)</f>
        <v>64284</v>
      </c>
      <c r="J135" s="87">
        <f>VLOOKUP(D135,База!$A$4:$AG$177,33,FALSE)</f>
        <v>100</v>
      </c>
      <c r="K135" s="108">
        <f>VLOOKUP(D135,База!$A$4:$V$177,22,FALSE)</f>
        <v>33247</v>
      </c>
      <c r="L135" s="108">
        <f>VLOOKUP(D135,База!$A$4:$W$177,23,FALSE)</f>
        <v>33247</v>
      </c>
      <c r="M135" s="87">
        <f>VLOOKUP(D135,База!$A$4:$X$177,24,0)</f>
        <v>100</v>
      </c>
      <c r="N135" s="95"/>
    </row>
    <row r="136" spans="2:14" x14ac:dyDescent="0.25">
      <c r="B136" s="92"/>
      <c r="C136" s="93">
        <v>129</v>
      </c>
      <c r="D136" s="107" t="s">
        <v>161</v>
      </c>
      <c r="E136" s="108">
        <f>VLOOKUP(D136,База!$A$4:$X$177,7,0)</f>
        <v>65937</v>
      </c>
      <c r="F136" s="108">
        <f>VLOOKUP(D136,База!$A$4:$X$177,8,0)</f>
        <v>65937</v>
      </c>
      <c r="G136" s="87">
        <f>VLOOKUP(D136,База!$A$4:$O$177,15,FALSE)</f>
        <v>100</v>
      </c>
      <c r="H136" s="108">
        <f>VLOOKUP(D136,База!$A$4:$AE$177,31,FALSE)</f>
        <v>65015</v>
      </c>
      <c r="I136" s="108">
        <f>VLOOKUP(D136,База!$A$4:$AF$177,32,FALSE)</f>
        <v>65015</v>
      </c>
      <c r="J136" s="87">
        <f>VLOOKUP(D136,База!$A$4:$AG$177,33,FALSE)</f>
        <v>100</v>
      </c>
      <c r="K136" s="108">
        <f>VLOOKUP(D136,База!$A$4:$V$177,22,FALSE)</f>
        <v>32969</v>
      </c>
      <c r="L136" s="108">
        <f>VLOOKUP(D136,База!$A$4:$W$177,23,FALSE)</f>
        <v>32969</v>
      </c>
      <c r="M136" s="87">
        <f>VLOOKUP(D136,База!$A$4:$X$177,24,0)</f>
        <v>100</v>
      </c>
      <c r="N136" s="95"/>
    </row>
    <row r="137" spans="2:14" x14ac:dyDescent="0.25">
      <c r="B137" s="92"/>
      <c r="C137" s="93">
        <v>130</v>
      </c>
      <c r="D137" s="107" t="s">
        <v>309</v>
      </c>
      <c r="E137" s="108">
        <f>VLOOKUP(D137,База!$A$4:$X$177,7,0)</f>
        <v>65502</v>
      </c>
      <c r="F137" s="108">
        <f>VLOOKUP(D137,База!$A$4:$X$177,8,0)</f>
        <v>65502</v>
      </c>
      <c r="G137" s="87">
        <f>VLOOKUP(D137,База!$A$4:$O$177,15,FALSE)</f>
        <v>100</v>
      </c>
      <c r="H137" s="108">
        <f>VLOOKUP(D137,База!$A$4:$AE$177,31,FALSE)</f>
        <v>59595</v>
      </c>
      <c r="I137" s="108">
        <f>VLOOKUP(D137,База!$A$4:$AF$177,32,FALSE)</f>
        <v>59595</v>
      </c>
      <c r="J137" s="87">
        <f>VLOOKUP(D137,База!$A$4:$AG$177,33,FALSE)</f>
        <v>100</v>
      </c>
      <c r="K137" s="108">
        <f>VLOOKUP(D137,База!$A$4:$V$177,22,FALSE)</f>
        <v>32871</v>
      </c>
      <c r="L137" s="108">
        <f>VLOOKUP(D137,База!$A$4:$W$177,23,FALSE)</f>
        <v>32871</v>
      </c>
      <c r="M137" s="87">
        <f>VLOOKUP(D137,База!$A$4:$X$177,24,0)</f>
        <v>100</v>
      </c>
      <c r="N137" s="95"/>
    </row>
    <row r="138" spans="2:14" x14ac:dyDescent="0.25">
      <c r="B138" s="92"/>
      <c r="C138" s="93">
        <v>131</v>
      </c>
      <c r="D138" s="107" t="s">
        <v>235</v>
      </c>
      <c r="E138" s="108">
        <f>VLOOKUP(D138,База!$A$4:$X$177,7,0)</f>
        <v>77984</v>
      </c>
      <c r="F138" s="108">
        <f>VLOOKUP(D138,База!$A$4:$X$177,8,0)</f>
        <v>77984</v>
      </c>
      <c r="G138" s="87">
        <f>VLOOKUP(D138,База!$A$4:$O$177,15,FALSE)</f>
        <v>100</v>
      </c>
      <c r="H138" s="108">
        <f>VLOOKUP(D138,База!$A$4:$AE$177,31,FALSE)</f>
        <v>56056</v>
      </c>
      <c r="I138" s="108">
        <f>VLOOKUP(D138,База!$A$4:$AF$177,32,FALSE)</f>
        <v>56056</v>
      </c>
      <c r="J138" s="87">
        <f>VLOOKUP(D138,База!$A$4:$AG$177,33,FALSE)</f>
        <v>100</v>
      </c>
      <c r="K138" s="108">
        <f>VLOOKUP(D138,База!$A$4:$V$177,22,FALSE)</f>
        <v>32703</v>
      </c>
      <c r="L138" s="108">
        <f>VLOOKUP(D138,База!$A$4:$W$177,23,FALSE)</f>
        <v>32703</v>
      </c>
      <c r="M138" s="87">
        <f>VLOOKUP(D138,База!$A$4:$X$177,24,0)</f>
        <v>100</v>
      </c>
      <c r="N138" s="95"/>
    </row>
    <row r="139" spans="2:14" x14ac:dyDescent="0.25">
      <c r="B139" s="92"/>
      <c r="C139" s="93">
        <v>132</v>
      </c>
      <c r="D139" s="107" t="s">
        <v>126</v>
      </c>
      <c r="E139" s="108">
        <f>VLOOKUP(D139,База!$A$4:$X$177,7,0)</f>
        <v>58865</v>
      </c>
      <c r="F139" s="108">
        <f>VLOOKUP(D139,База!$A$4:$X$177,8,0)</f>
        <v>58865</v>
      </c>
      <c r="G139" s="87">
        <f>VLOOKUP(D139,База!$A$4:$O$177,15,FALSE)</f>
        <v>100</v>
      </c>
      <c r="H139" s="108">
        <f>VLOOKUP(D139,База!$A$4:$AE$177,31,FALSE)</f>
        <v>47695</v>
      </c>
      <c r="I139" s="108">
        <f>VLOOKUP(D139,База!$A$4:$AF$177,32,FALSE)</f>
        <v>47695</v>
      </c>
      <c r="J139" s="87">
        <f>VLOOKUP(D139,База!$A$4:$AG$177,33,FALSE)</f>
        <v>100</v>
      </c>
      <c r="K139" s="108">
        <f>VLOOKUP(D139,База!$A$4:$V$177,22,FALSE)</f>
        <v>32495</v>
      </c>
      <c r="L139" s="108">
        <f>VLOOKUP(D139,База!$A$4:$W$177,23,FALSE)</f>
        <v>32495</v>
      </c>
      <c r="M139" s="87">
        <f>VLOOKUP(D139,База!$A$4:$X$177,24,0)</f>
        <v>100</v>
      </c>
      <c r="N139" s="95"/>
    </row>
    <row r="140" spans="2:14" x14ac:dyDescent="0.25">
      <c r="B140" s="92"/>
      <c r="C140" s="93">
        <v>133</v>
      </c>
      <c r="D140" s="107" t="s">
        <v>200</v>
      </c>
      <c r="E140" s="108">
        <f>VLOOKUP(D140,База!$A$4:$X$177,7,0)</f>
        <v>57714</v>
      </c>
      <c r="F140" s="108">
        <f>VLOOKUP(D140,База!$A$4:$X$177,8,0)</f>
        <v>57714</v>
      </c>
      <c r="G140" s="87">
        <f>VLOOKUP(D140,База!$A$4:$O$177,15,FALSE)</f>
        <v>100</v>
      </c>
      <c r="H140" s="108">
        <f>VLOOKUP(D140,База!$A$4:$AE$177,31,FALSE)</f>
        <v>54562</v>
      </c>
      <c r="I140" s="108">
        <f>VLOOKUP(D140,База!$A$4:$AF$177,32,FALSE)</f>
        <v>54562</v>
      </c>
      <c r="J140" s="87">
        <f>VLOOKUP(D140,База!$A$4:$AG$177,33,FALSE)</f>
        <v>100</v>
      </c>
      <c r="K140" s="108">
        <f>VLOOKUP(D140,База!$A$4:$V$177,22,FALSE)</f>
        <v>32388</v>
      </c>
      <c r="L140" s="108">
        <f>VLOOKUP(D140,База!$A$4:$W$177,23,FALSE)</f>
        <v>32388</v>
      </c>
      <c r="M140" s="87">
        <f>VLOOKUP(D140,База!$A$4:$X$177,24,0)</f>
        <v>100</v>
      </c>
      <c r="N140" s="95"/>
    </row>
    <row r="141" spans="2:14" x14ac:dyDescent="0.25">
      <c r="B141" s="92"/>
      <c r="C141" s="93">
        <v>134</v>
      </c>
      <c r="D141" s="107" t="s">
        <v>182</v>
      </c>
      <c r="E141" s="108">
        <f>VLOOKUP(D141,База!$A$4:$X$177,7,0)</f>
        <v>58483</v>
      </c>
      <c r="F141" s="108">
        <f>VLOOKUP(D141,База!$A$4:$X$177,8,0)</f>
        <v>58483</v>
      </c>
      <c r="G141" s="87">
        <f>VLOOKUP(D141,База!$A$4:$O$177,15,FALSE)</f>
        <v>100</v>
      </c>
      <c r="H141" s="108">
        <f>VLOOKUP(D141,База!$A$4:$AE$177,31,FALSE)</f>
        <v>58483</v>
      </c>
      <c r="I141" s="108">
        <f>VLOOKUP(D141,База!$A$4:$AF$177,32,FALSE)</f>
        <v>58483</v>
      </c>
      <c r="J141" s="87">
        <f>VLOOKUP(D141,База!$A$4:$AG$177,33,FALSE)</f>
        <v>100</v>
      </c>
      <c r="K141" s="108">
        <f>VLOOKUP(D141,База!$A$4:$V$177,22,FALSE)</f>
        <v>31798</v>
      </c>
      <c r="L141" s="108">
        <f>VLOOKUP(D141,База!$A$4:$W$177,23,FALSE)</f>
        <v>31798</v>
      </c>
      <c r="M141" s="87">
        <f>VLOOKUP(D141,База!$A$4:$X$177,24,0)</f>
        <v>100</v>
      </c>
      <c r="N141" s="95"/>
    </row>
    <row r="142" spans="2:14" x14ac:dyDescent="0.25">
      <c r="B142" s="92"/>
      <c r="C142" s="93">
        <v>135</v>
      </c>
      <c r="D142" s="107" t="s">
        <v>183</v>
      </c>
      <c r="E142" s="108">
        <f>VLOOKUP(D142,База!$A$4:$X$177,7,0)</f>
        <v>51937</v>
      </c>
      <c r="F142" s="108">
        <f>VLOOKUP(D142,База!$A$4:$X$177,8,0)</f>
        <v>51937</v>
      </c>
      <c r="G142" s="87">
        <f>VLOOKUP(D142,База!$A$4:$O$177,15,FALSE)</f>
        <v>100</v>
      </c>
      <c r="H142" s="108">
        <f>VLOOKUP(D142,База!$A$4:$AE$177,31,FALSE)</f>
        <v>51380</v>
      </c>
      <c r="I142" s="108">
        <f>VLOOKUP(D142,База!$A$4:$AF$177,32,FALSE)</f>
        <v>51380</v>
      </c>
      <c r="J142" s="87">
        <f>VLOOKUP(D142,База!$A$4:$AG$177,33,FALSE)</f>
        <v>100</v>
      </c>
      <c r="K142" s="108">
        <f>VLOOKUP(D142,База!$A$4:$V$177,22,FALSE)</f>
        <v>31173</v>
      </c>
      <c r="L142" s="108">
        <f>VLOOKUP(D142,База!$A$4:$W$177,23,FALSE)</f>
        <v>31173</v>
      </c>
      <c r="M142" s="87">
        <f>VLOOKUP(D142,База!$A$4:$X$177,24,0)</f>
        <v>100</v>
      </c>
      <c r="N142" s="95"/>
    </row>
    <row r="143" spans="2:14" x14ac:dyDescent="0.25">
      <c r="B143" s="92"/>
      <c r="C143" s="93">
        <v>136</v>
      </c>
      <c r="D143" s="107" t="s">
        <v>118</v>
      </c>
      <c r="E143" s="108">
        <f>VLOOKUP(D143,База!$A$4:$X$177,7,0)</f>
        <v>61919</v>
      </c>
      <c r="F143" s="108">
        <f>VLOOKUP(D143,База!$A$4:$X$177,8,0)</f>
        <v>61919</v>
      </c>
      <c r="G143" s="87">
        <f>VLOOKUP(D143,База!$A$4:$O$177,15,FALSE)</f>
        <v>100</v>
      </c>
      <c r="H143" s="108">
        <f>VLOOKUP(D143,База!$A$4:$AE$177,31,FALSE)</f>
        <v>52061</v>
      </c>
      <c r="I143" s="108">
        <f>VLOOKUP(D143,База!$A$4:$AF$177,32,FALSE)</f>
        <v>52061</v>
      </c>
      <c r="J143" s="87">
        <f>VLOOKUP(D143,База!$A$4:$AG$177,33,FALSE)</f>
        <v>100</v>
      </c>
      <c r="K143" s="108">
        <f>VLOOKUP(D143,База!$A$4:$V$177,22,FALSE)</f>
        <v>29740</v>
      </c>
      <c r="L143" s="108">
        <f>VLOOKUP(D143,База!$A$4:$W$177,23,FALSE)</f>
        <v>29740</v>
      </c>
      <c r="M143" s="87">
        <f>VLOOKUP(D143,База!$A$4:$X$177,24,0)</f>
        <v>100</v>
      </c>
      <c r="N143" s="95"/>
    </row>
    <row r="144" spans="2:14" x14ac:dyDescent="0.25">
      <c r="B144" s="92"/>
      <c r="C144" s="93">
        <v>137</v>
      </c>
      <c r="D144" s="107" t="s">
        <v>164</v>
      </c>
      <c r="E144" s="108">
        <f>VLOOKUP(D144,База!$A$4:$X$177,7,0)</f>
        <v>63766</v>
      </c>
      <c r="F144" s="108">
        <f>VLOOKUP(D144,База!$A$4:$X$177,8,0)</f>
        <v>63766</v>
      </c>
      <c r="G144" s="87">
        <f>VLOOKUP(D144,База!$A$4:$O$177,15,FALSE)</f>
        <v>100</v>
      </c>
      <c r="H144" s="108">
        <f>VLOOKUP(D144,База!$A$4:$AE$177,31,FALSE)</f>
        <v>55021</v>
      </c>
      <c r="I144" s="108">
        <f>VLOOKUP(D144,База!$A$4:$AF$177,32,FALSE)</f>
        <v>55021</v>
      </c>
      <c r="J144" s="87">
        <f>VLOOKUP(D144,База!$A$4:$AG$177,33,FALSE)</f>
        <v>100</v>
      </c>
      <c r="K144" s="108">
        <f>VLOOKUP(D144,База!$A$4:$V$177,22,FALSE)</f>
        <v>29642</v>
      </c>
      <c r="L144" s="108">
        <f>VLOOKUP(D144,База!$A$4:$W$177,23,FALSE)</f>
        <v>29642</v>
      </c>
      <c r="M144" s="87">
        <f>VLOOKUP(D144,База!$A$4:$X$177,24,0)</f>
        <v>100</v>
      </c>
      <c r="N144" s="95"/>
    </row>
    <row r="145" spans="2:14" x14ac:dyDescent="0.25">
      <c r="B145" s="92"/>
      <c r="C145" s="93">
        <v>138</v>
      </c>
      <c r="D145" s="107" t="s">
        <v>116</v>
      </c>
      <c r="E145" s="108">
        <f>VLOOKUP(D145,База!$A$4:$X$177,7,0)</f>
        <v>49551</v>
      </c>
      <c r="F145" s="108">
        <f>VLOOKUP(D145,База!$A$4:$X$177,8,0)</f>
        <v>49551</v>
      </c>
      <c r="G145" s="87">
        <f>VLOOKUP(D145,База!$A$4:$O$177,15,FALSE)</f>
        <v>100</v>
      </c>
      <c r="H145" s="108">
        <f>VLOOKUP(D145,База!$A$4:$AE$177,31,FALSE)</f>
        <v>44255</v>
      </c>
      <c r="I145" s="108">
        <f>VLOOKUP(D145,База!$A$4:$AF$177,32,FALSE)</f>
        <v>44255</v>
      </c>
      <c r="J145" s="87">
        <f>VLOOKUP(D145,База!$A$4:$AG$177,33,FALSE)</f>
        <v>100</v>
      </c>
      <c r="K145" s="108">
        <f>VLOOKUP(D145,База!$A$4:$V$177,22,FALSE)</f>
        <v>28916</v>
      </c>
      <c r="L145" s="108">
        <f>VLOOKUP(D145,База!$A$4:$W$177,23,FALSE)</f>
        <v>28916</v>
      </c>
      <c r="M145" s="87">
        <f>VLOOKUP(D145,База!$A$4:$X$177,24,0)</f>
        <v>100</v>
      </c>
      <c r="N145" s="95"/>
    </row>
    <row r="146" spans="2:14" x14ac:dyDescent="0.25">
      <c r="B146" s="92"/>
      <c r="C146" s="93">
        <v>139</v>
      </c>
      <c r="D146" s="107" t="s">
        <v>141</v>
      </c>
      <c r="E146" s="108">
        <f>VLOOKUP(D146,База!$A$4:$X$177,7,0)</f>
        <v>75135</v>
      </c>
      <c r="F146" s="108">
        <f>VLOOKUP(D146,База!$A$4:$X$177,8,0)</f>
        <v>75135</v>
      </c>
      <c r="G146" s="87">
        <f>VLOOKUP(D146,База!$A$4:$O$177,15,FALSE)</f>
        <v>100</v>
      </c>
      <c r="H146" s="108">
        <f>VLOOKUP(D146,База!$A$4:$AE$177,31,FALSE)</f>
        <v>53932</v>
      </c>
      <c r="I146" s="108">
        <f>VLOOKUP(D146,База!$A$4:$AF$177,32,FALSE)</f>
        <v>53932</v>
      </c>
      <c r="J146" s="87">
        <f>VLOOKUP(D146,База!$A$4:$AG$177,33,FALSE)</f>
        <v>100</v>
      </c>
      <c r="K146" s="108">
        <f>VLOOKUP(D146,База!$A$4:$V$177,22,FALSE)</f>
        <v>28746</v>
      </c>
      <c r="L146" s="108">
        <f>VLOOKUP(D146,База!$A$4:$W$177,23,FALSE)</f>
        <v>28746</v>
      </c>
      <c r="M146" s="87">
        <f>VLOOKUP(D146,База!$A$4:$X$177,24,0)</f>
        <v>100</v>
      </c>
      <c r="N146" s="95"/>
    </row>
    <row r="147" spans="2:14" x14ac:dyDescent="0.25">
      <c r="B147" s="92"/>
      <c r="C147" s="93">
        <v>140</v>
      </c>
      <c r="D147" s="107" t="s">
        <v>313</v>
      </c>
      <c r="E147" s="108">
        <f>VLOOKUP(D147,База!$A$4:$X$177,7,0)</f>
        <v>40390</v>
      </c>
      <c r="F147" s="108">
        <f>VLOOKUP(D147,База!$A$4:$X$177,8,0)</f>
        <v>40390</v>
      </c>
      <c r="G147" s="87">
        <f>VLOOKUP(D147,База!$A$4:$O$177,15,FALSE)</f>
        <v>100</v>
      </c>
      <c r="H147" s="108">
        <f>VLOOKUP(D147,База!$A$4:$AE$177,31,FALSE)</f>
        <v>35735</v>
      </c>
      <c r="I147" s="108">
        <f>VLOOKUP(D147,База!$A$4:$AF$177,32,FALSE)</f>
        <v>35735</v>
      </c>
      <c r="J147" s="87">
        <f>VLOOKUP(D147,База!$A$4:$AG$177,33,FALSE)</f>
        <v>100</v>
      </c>
      <c r="K147" s="108">
        <f>VLOOKUP(D147,База!$A$4:$V$177,22,FALSE)</f>
        <v>28617</v>
      </c>
      <c r="L147" s="108">
        <f>VLOOKUP(D147,База!$A$4:$W$177,23,FALSE)</f>
        <v>28617</v>
      </c>
      <c r="M147" s="87">
        <f>VLOOKUP(D147,База!$A$4:$X$177,24,0)</f>
        <v>100</v>
      </c>
      <c r="N147" s="95"/>
    </row>
    <row r="148" spans="2:14" x14ac:dyDescent="0.25">
      <c r="B148" s="92"/>
      <c r="C148" s="93">
        <v>141</v>
      </c>
      <c r="D148" s="107" t="s">
        <v>145</v>
      </c>
      <c r="E148" s="108">
        <f>VLOOKUP(D148,База!$A$4:$X$177,7,0)</f>
        <v>55443</v>
      </c>
      <c r="F148" s="108">
        <f>VLOOKUP(D148,База!$A$4:$X$177,8,0)</f>
        <v>55443</v>
      </c>
      <c r="G148" s="87">
        <f>VLOOKUP(D148,База!$A$4:$O$177,15,FALSE)</f>
        <v>100</v>
      </c>
      <c r="H148" s="108">
        <f>VLOOKUP(D148,База!$A$4:$AE$177,31,FALSE)</f>
        <v>51823</v>
      </c>
      <c r="I148" s="108">
        <f>VLOOKUP(D148,База!$A$4:$AF$177,32,FALSE)</f>
        <v>51823</v>
      </c>
      <c r="J148" s="87">
        <f>VLOOKUP(D148,База!$A$4:$AG$177,33,FALSE)</f>
        <v>100</v>
      </c>
      <c r="K148" s="108">
        <f>VLOOKUP(D148,База!$A$4:$V$177,22,FALSE)</f>
        <v>28523</v>
      </c>
      <c r="L148" s="108">
        <f>VLOOKUP(D148,База!$A$4:$W$177,23,FALSE)</f>
        <v>28523</v>
      </c>
      <c r="M148" s="87">
        <f>VLOOKUP(D148,База!$A$4:$X$177,24,0)</f>
        <v>100</v>
      </c>
      <c r="N148" s="95"/>
    </row>
    <row r="149" spans="2:14" x14ac:dyDescent="0.25">
      <c r="B149" s="92"/>
      <c r="C149" s="93">
        <v>142</v>
      </c>
      <c r="D149" s="107" t="s">
        <v>307</v>
      </c>
      <c r="E149" s="108">
        <f>VLOOKUP(D149,База!$A$4:$X$177,7,0)</f>
        <v>51779</v>
      </c>
      <c r="F149" s="108">
        <f>VLOOKUP(D149,База!$A$4:$X$177,8,0)</f>
        <v>51779</v>
      </c>
      <c r="G149" s="87">
        <f>VLOOKUP(D149,База!$A$4:$O$177,15,FALSE)</f>
        <v>100</v>
      </c>
      <c r="H149" s="108">
        <f>VLOOKUP(D149,База!$A$4:$AE$177,31,FALSE)</f>
        <v>41997</v>
      </c>
      <c r="I149" s="108">
        <f>VLOOKUP(D149,База!$A$4:$AF$177,32,FALSE)</f>
        <v>41997</v>
      </c>
      <c r="J149" s="87">
        <f>VLOOKUP(D149,База!$A$4:$AG$177,33,FALSE)</f>
        <v>100</v>
      </c>
      <c r="K149" s="108">
        <f>VLOOKUP(D149,База!$A$4:$V$177,22,FALSE)</f>
        <v>28559</v>
      </c>
      <c r="L149" s="108">
        <f>VLOOKUP(D149,База!$A$4:$W$177,23,FALSE)</f>
        <v>28559</v>
      </c>
      <c r="M149" s="87">
        <f>VLOOKUP(D149,База!$A$4:$X$177,24,0)</f>
        <v>100</v>
      </c>
      <c r="N149" s="95"/>
    </row>
    <row r="150" spans="2:14" x14ac:dyDescent="0.25">
      <c r="B150" s="92"/>
      <c r="C150" s="93">
        <v>143</v>
      </c>
      <c r="D150" s="107" t="s">
        <v>311</v>
      </c>
      <c r="E150" s="108">
        <f>VLOOKUP(D150,База!$A$4:$X$177,7,0)</f>
        <v>43902</v>
      </c>
      <c r="F150" s="108">
        <f>VLOOKUP(D150,База!$A$4:$X$177,8,0)</f>
        <v>43902</v>
      </c>
      <c r="G150" s="87">
        <f>VLOOKUP(D150,База!$A$4:$O$177,15,FALSE)</f>
        <v>100</v>
      </c>
      <c r="H150" s="108">
        <f>VLOOKUP(D150,База!$A$4:$AE$177,31,FALSE)</f>
        <v>43726</v>
      </c>
      <c r="I150" s="108">
        <f>VLOOKUP(D150,База!$A$4:$AF$177,32,FALSE)</f>
        <v>43726</v>
      </c>
      <c r="J150" s="87">
        <f>VLOOKUP(D150,База!$A$4:$AG$177,33,FALSE)</f>
        <v>100</v>
      </c>
      <c r="K150" s="108">
        <f>VLOOKUP(D150,База!$A$4:$V$177,22,FALSE)</f>
        <v>27634</v>
      </c>
      <c r="L150" s="108">
        <f>VLOOKUP(D150,База!$A$4:$W$177,23,FALSE)</f>
        <v>27634</v>
      </c>
      <c r="M150" s="87">
        <f>VLOOKUP(D150,База!$A$4:$X$177,24,0)</f>
        <v>100</v>
      </c>
      <c r="N150" s="95"/>
    </row>
    <row r="151" spans="2:14" x14ac:dyDescent="0.25">
      <c r="B151" s="92"/>
      <c r="C151" s="93">
        <v>144</v>
      </c>
      <c r="D151" s="107" t="s">
        <v>29</v>
      </c>
      <c r="E151" s="108">
        <f>VLOOKUP(D151,База!$A$4:$X$177,7,0)</f>
        <v>27300</v>
      </c>
      <c r="F151" s="108">
        <f>VLOOKUP(D151,База!$A$4:$X$177,8,0)</f>
        <v>27300</v>
      </c>
      <c r="G151" s="87">
        <f>VLOOKUP(D151,База!$A$4:$O$177,15,FALSE)</f>
        <v>100</v>
      </c>
      <c r="H151" s="108">
        <f>VLOOKUP(D151,База!$A$4:$AE$177,31,FALSE)</f>
        <v>27300</v>
      </c>
      <c r="I151" s="108">
        <f>VLOOKUP(D151,База!$A$4:$AF$177,32,FALSE)</f>
        <v>27300</v>
      </c>
      <c r="J151" s="87">
        <f>VLOOKUP(D151,База!$A$4:$AG$177,33,FALSE)</f>
        <v>100</v>
      </c>
      <c r="K151" s="108">
        <f>VLOOKUP(D151,База!$A$4:$V$177,22,FALSE)</f>
        <v>27300</v>
      </c>
      <c r="L151" s="108">
        <f>VLOOKUP(D151,База!$A$4:$W$177,23,FALSE)</f>
        <v>27300</v>
      </c>
      <c r="M151" s="87">
        <f>VLOOKUP(D151,База!$A$4:$X$177,24,0)</f>
        <v>100</v>
      </c>
      <c r="N151" s="95"/>
    </row>
    <row r="152" spans="2:14" x14ac:dyDescent="0.25">
      <c r="B152" s="92"/>
      <c r="C152" s="93">
        <v>145</v>
      </c>
      <c r="D152" s="109" t="s">
        <v>137</v>
      </c>
      <c r="E152" s="108">
        <f>VLOOKUP(D152,База!$A$4:$X$177,7,0)</f>
        <v>47457</v>
      </c>
      <c r="F152" s="108">
        <f>VLOOKUP(D152,База!$A$4:$X$177,8,0)</f>
        <v>47457</v>
      </c>
      <c r="G152" s="87">
        <f>VLOOKUP(D152,База!$A$4:$O$177,15,FALSE)</f>
        <v>100</v>
      </c>
      <c r="H152" s="108">
        <f>VLOOKUP(D152,База!$A$4:$AE$177,31,FALSE)</f>
        <v>42914</v>
      </c>
      <c r="I152" s="108">
        <f>VLOOKUP(D152,База!$A$4:$AF$177,32,FALSE)</f>
        <v>42914</v>
      </c>
      <c r="J152" s="87">
        <f>VLOOKUP(D152,База!$A$4:$AG$177,33,FALSE)</f>
        <v>100</v>
      </c>
      <c r="K152" s="108">
        <f>VLOOKUP(D152,База!$A$4:$V$177,22,FALSE)</f>
        <v>25646</v>
      </c>
      <c r="L152" s="108">
        <f>VLOOKUP(D152,База!$A$4:$W$177,23,FALSE)</f>
        <v>25646</v>
      </c>
      <c r="M152" s="87">
        <f>VLOOKUP(D152,База!$A$4:$X$177,24,0)</f>
        <v>100</v>
      </c>
      <c r="N152" s="95"/>
    </row>
    <row r="153" spans="2:14" x14ac:dyDescent="0.25">
      <c r="B153" s="92"/>
      <c r="C153" s="93">
        <v>146</v>
      </c>
      <c r="D153" s="107" t="s">
        <v>294</v>
      </c>
      <c r="E153" s="108">
        <f>VLOOKUP(D153,База!$A$4:$X$177,7,0)</f>
        <v>86083</v>
      </c>
      <c r="F153" s="108">
        <f>VLOOKUP(D153,База!$A$4:$X$177,8,0)</f>
        <v>86083</v>
      </c>
      <c r="G153" s="87">
        <f>VLOOKUP(D153,База!$A$4:$O$177,15,FALSE)</f>
        <v>100</v>
      </c>
      <c r="H153" s="108">
        <f>VLOOKUP(D153,База!$A$4:$AE$177,31,FALSE)</f>
        <v>80580</v>
      </c>
      <c r="I153" s="108">
        <f>VLOOKUP(D153,База!$A$4:$AF$177,32,FALSE)</f>
        <v>80580</v>
      </c>
      <c r="J153" s="87">
        <f>VLOOKUP(D153,База!$A$4:$AG$177,33,FALSE)</f>
        <v>100</v>
      </c>
      <c r="K153" s="108">
        <f>VLOOKUP(D153,База!$A$4:$V$177,22,FALSE)</f>
        <v>23882</v>
      </c>
      <c r="L153" s="108">
        <f>VLOOKUP(D153,База!$A$4:$W$177,23,FALSE)</f>
        <v>23882</v>
      </c>
      <c r="M153" s="87">
        <f>VLOOKUP(D153,База!$A$4:$X$177,24,0)</f>
        <v>100</v>
      </c>
      <c r="N153" s="95"/>
    </row>
    <row r="154" spans="2:14" x14ac:dyDescent="0.25">
      <c r="B154" s="92"/>
      <c r="C154" s="93">
        <v>147</v>
      </c>
      <c r="D154" s="107" t="s">
        <v>293</v>
      </c>
      <c r="E154" s="108">
        <f>VLOOKUP(D154,База!$A$4:$X$177,7,0)</f>
        <v>95897</v>
      </c>
      <c r="F154" s="108">
        <f>VLOOKUP(D154,База!$A$4:$X$177,8,0)</f>
        <v>95897</v>
      </c>
      <c r="G154" s="87">
        <f>VLOOKUP(D154,База!$A$4:$O$177,15,FALSE)</f>
        <v>100</v>
      </c>
      <c r="H154" s="108">
        <f>VLOOKUP(D154,База!$A$4:$AE$177,31,FALSE)</f>
        <v>74397</v>
      </c>
      <c r="I154" s="108">
        <f>VLOOKUP(D154,База!$A$4:$AF$177,32,FALSE)</f>
        <v>74397</v>
      </c>
      <c r="J154" s="87">
        <f>VLOOKUP(D154,База!$A$4:$AG$177,33,FALSE)</f>
        <v>100</v>
      </c>
      <c r="K154" s="108">
        <f>VLOOKUP(D154,База!$A$4:$V$177,22,FALSE)</f>
        <v>22955</v>
      </c>
      <c r="L154" s="108">
        <f>VLOOKUP(D154,База!$A$4:$W$177,23,FALSE)</f>
        <v>22955</v>
      </c>
      <c r="M154" s="87">
        <f>VLOOKUP(D154,База!$A$4:$X$177,24,0)</f>
        <v>100</v>
      </c>
      <c r="N154" s="95"/>
    </row>
    <row r="155" spans="2:14" x14ac:dyDescent="0.25">
      <c r="B155" s="92"/>
      <c r="C155" s="93">
        <v>148</v>
      </c>
      <c r="D155" s="107" t="s">
        <v>203</v>
      </c>
      <c r="E155" s="108">
        <f>VLOOKUP(D155,База!$A$4:$X$177,7,0)</f>
        <v>38230</v>
      </c>
      <c r="F155" s="108">
        <f>VLOOKUP(D155,База!$A$4:$X$177,8,0)</f>
        <v>38230</v>
      </c>
      <c r="G155" s="87">
        <f>VLOOKUP(D155,База!$A$4:$O$177,15,FALSE)</f>
        <v>100</v>
      </c>
      <c r="H155" s="108">
        <f>VLOOKUP(D155,База!$A$4:$AE$177,31,FALSE)</f>
        <v>32659</v>
      </c>
      <c r="I155" s="108">
        <f>VLOOKUP(D155,База!$A$4:$AF$177,32,FALSE)</f>
        <v>32659</v>
      </c>
      <c r="J155" s="87">
        <f>VLOOKUP(D155,База!$A$4:$AG$177,33,FALSE)</f>
        <v>100</v>
      </c>
      <c r="K155" s="108">
        <f>VLOOKUP(D155,База!$A$4:$V$177,22,FALSE)</f>
        <v>20754</v>
      </c>
      <c r="L155" s="108">
        <f>VLOOKUP(D155,База!$A$4:$W$177,23,FALSE)</f>
        <v>20754</v>
      </c>
      <c r="M155" s="87">
        <f>VLOOKUP(D155,База!$A$4:$X$177,24,0)</f>
        <v>100</v>
      </c>
      <c r="N155" s="95"/>
    </row>
    <row r="156" spans="2:14" x14ac:dyDescent="0.25">
      <c r="B156" s="92"/>
      <c r="C156" s="93">
        <v>149</v>
      </c>
      <c r="D156" s="107" t="s">
        <v>28</v>
      </c>
      <c r="E156" s="108">
        <f>VLOOKUP(D156,База!$A$4:$X$177,7,0)</f>
        <v>20070</v>
      </c>
      <c r="F156" s="108">
        <f>VLOOKUP(D156,База!$A$4:$X$177,8,0)</f>
        <v>20070</v>
      </c>
      <c r="G156" s="87">
        <f>VLOOKUP(D156,База!$A$4:$O$177,15,FALSE)</f>
        <v>100</v>
      </c>
      <c r="H156" s="108">
        <f>VLOOKUP(D156,База!$A$4:$AE$177,31,FALSE)</f>
        <v>20070</v>
      </c>
      <c r="I156" s="108">
        <f>VLOOKUP(D156,База!$A$4:$AF$177,32,FALSE)</f>
        <v>20070</v>
      </c>
      <c r="J156" s="87">
        <f>VLOOKUP(D156,База!$A$4:$AG$177,33,FALSE)</f>
        <v>100</v>
      </c>
      <c r="K156" s="108">
        <f>VLOOKUP(D156,База!$A$4:$V$177,22,FALSE)</f>
        <v>20070</v>
      </c>
      <c r="L156" s="108">
        <f>VLOOKUP(D156,База!$A$4:$W$177,23,FALSE)</f>
        <v>20070</v>
      </c>
      <c r="M156" s="87">
        <f>VLOOKUP(D156,База!$A$4:$X$177,24,0)</f>
        <v>100</v>
      </c>
      <c r="N156" s="95"/>
    </row>
    <row r="157" spans="2:14" x14ac:dyDescent="0.25">
      <c r="B157" s="92"/>
      <c r="C157" s="93">
        <v>150</v>
      </c>
      <c r="D157" s="107" t="s">
        <v>149</v>
      </c>
      <c r="E157" s="108">
        <f>VLOOKUP(D157,База!$A$4:$X$177,7,0)</f>
        <v>29302</v>
      </c>
      <c r="F157" s="108">
        <f>VLOOKUP(D157,База!$A$4:$X$177,8,0)</f>
        <v>29302</v>
      </c>
      <c r="G157" s="87">
        <f>VLOOKUP(D157,База!$A$4:$O$177,15,FALSE)</f>
        <v>100</v>
      </c>
      <c r="H157" s="108">
        <f>VLOOKUP(D157,База!$A$4:$AE$177,31,FALSE)</f>
        <v>29302</v>
      </c>
      <c r="I157" s="108">
        <f>VLOOKUP(D157,База!$A$4:$AF$177,32,FALSE)</f>
        <v>29302</v>
      </c>
      <c r="J157" s="87">
        <f>VLOOKUP(D157,База!$A$4:$AG$177,33,FALSE)</f>
        <v>100</v>
      </c>
      <c r="K157" s="108">
        <f>VLOOKUP(D157,База!$A$4:$V$177,22,FALSE)</f>
        <v>19662</v>
      </c>
      <c r="L157" s="108">
        <f>VLOOKUP(D157,База!$A$4:$W$177,23,FALSE)</f>
        <v>19662</v>
      </c>
      <c r="M157" s="87">
        <f>VLOOKUP(D157,База!$A$4:$X$177,24,0)</f>
        <v>100</v>
      </c>
      <c r="N157" s="95"/>
    </row>
    <row r="158" spans="2:14" x14ac:dyDescent="0.25">
      <c r="B158" s="92"/>
      <c r="C158" s="93">
        <v>151</v>
      </c>
      <c r="D158" s="107" t="s">
        <v>148</v>
      </c>
      <c r="E158" s="108">
        <f>VLOOKUP(D158,База!$A$4:$X$177,7,0)</f>
        <v>26253</v>
      </c>
      <c r="F158" s="108">
        <f>VLOOKUP(D158,База!$A$4:$X$177,8,0)</f>
        <v>26253</v>
      </c>
      <c r="G158" s="87">
        <f>VLOOKUP(D158,База!$A$4:$O$177,15,FALSE)</f>
        <v>100</v>
      </c>
      <c r="H158" s="108">
        <f>VLOOKUP(D158,База!$A$4:$AE$177,31,FALSE)</f>
        <v>26253</v>
      </c>
      <c r="I158" s="108">
        <f>VLOOKUP(D158,База!$A$4:$AF$177,32,FALSE)</f>
        <v>26253</v>
      </c>
      <c r="J158" s="87">
        <f>VLOOKUP(D158,База!$A$4:$AG$177,33,FALSE)</f>
        <v>100</v>
      </c>
      <c r="K158" s="108">
        <f>VLOOKUP(D158,База!$A$4:$V$177,22,FALSE)</f>
        <v>19394</v>
      </c>
      <c r="L158" s="108">
        <f>VLOOKUP(D158,База!$A$4:$W$177,23,FALSE)</f>
        <v>19394</v>
      </c>
      <c r="M158" s="87">
        <f>VLOOKUP(D158,База!$A$4:$X$177,24,0)</f>
        <v>100</v>
      </c>
      <c r="N158" s="95"/>
    </row>
    <row r="159" spans="2:14" x14ac:dyDescent="0.25">
      <c r="B159" s="92"/>
      <c r="C159" s="93">
        <v>152</v>
      </c>
      <c r="D159" s="107" t="s">
        <v>312</v>
      </c>
      <c r="E159" s="108">
        <f>VLOOKUP(D159,База!$A$4:$X$177,7,0)</f>
        <v>41077</v>
      </c>
      <c r="F159" s="108">
        <f>VLOOKUP(D159,База!$A$4:$X$177,8,0)</f>
        <v>41077</v>
      </c>
      <c r="G159" s="87">
        <f>VLOOKUP(D159,База!$A$4:$O$177,15,FALSE)</f>
        <v>100</v>
      </c>
      <c r="H159" s="108">
        <f>VLOOKUP(D159,База!$A$4:$AE$177,31,FALSE)</f>
        <v>27819</v>
      </c>
      <c r="I159" s="108">
        <f>VLOOKUP(D159,База!$A$4:$AF$177,32,FALSE)</f>
        <v>27819</v>
      </c>
      <c r="J159" s="87">
        <f>VLOOKUP(D159,База!$A$4:$AG$177,33,FALSE)</f>
        <v>100</v>
      </c>
      <c r="K159" s="108">
        <f>VLOOKUP(D159,База!$A$4:$V$177,22,FALSE)</f>
        <v>16509</v>
      </c>
      <c r="L159" s="108">
        <f>VLOOKUP(D159,База!$A$4:$W$177,23,FALSE)</f>
        <v>16509</v>
      </c>
      <c r="M159" s="87">
        <f>VLOOKUP(D159,База!$A$4:$X$177,24,0)</f>
        <v>100</v>
      </c>
      <c r="N159" s="95"/>
    </row>
    <row r="160" spans="2:14" x14ac:dyDescent="0.25">
      <c r="B160" s="92"/>
      <c r="C160" s="93">
        <v>153</v>
      </c>
      <c r="D160" s="107" t="s">
        <v>315</v>
      </c>
      <c r="E160" s="108">
        <f>VLOOKUP(D160,База!$A$4:$X$177,7,0)</f>
        <v>12974</v>
      </c>
      <c r="F160" s="108">
        <f>VLOOKUP(D160,База!$A$4:$X$177,8,0)</f>
        <v>12974</v>
      </c>
      <c r="G160" s="87">
        <f>VLOOKUP(D160,База!$A$4:$O$177,15,FALSE)</f>
        <v>100</v>
      </c>
      <c r="H160" s="108">
        <f>VLOOKUP(D160,База!$A$4:$AE$177,31,FALSE)</f>
        <v>12974</v>
      </c>
      <c r="I160" s="108">
        <f>VLOOKUP(D160,База!$A$4:$AF$177,32,FALSE)</f>
        <v>12974</v>
      </c>
      <c r="J160" s="87">
        <f>VLOOKUP(D160,База!$A$4:$AG$177,33,FALSE)</f>
        <v>100</v>
      </c>
      <c r="K160" s="108">
        <f>VLOOKUP(D160,База!$A$4:$V$177,22,FALSE)</f>
        <v>12974</v>
      </c>
      <c r="L160" s="108">
        <f>VLOOKUP(D160,База!$A$4:$W$177,23,FALSE)</f>
        <v>12974</v>
      </c>
      <c r="M160" s="87">
        <f>VLOOKUP(D160,База!$A$4:$X$177,24,0)</f>
        <v>100</v>
      </c>
      <c r="N160" s="95"/>
    </row>
    <row r="161" spans="2:14" x14ac:dyDescent="0.25">
      <c r="B161" s="92"/>
      <c r="C161" s="93">
        <v>154</v>
      </c>
      <c r="D161" s="107" t="s">
        <v>35</v>
      </c>
      <c r="E161" s="108">
        <f>VLOOKUP(D161,База!$A$4:$X$177,7,0)</f>
        <v>16312</v>
      </c>
      <c r="F161" s="108">
        <f>VLOOKUP(D161,База!$A$4:$X$177,8,0)</f>
        <v>16312</v>
      </c>
      <c r="G161" s="87">
        <f>VLOOKUP(D161,База!$A$4:$O$177,15,FALSE)</f>
        <v>100</v>
      </c>
      <c r="H161" s="108">
        <f>VLOOKUP(D161,База!$A$4:$AE$177,31,FALSE)</f>
        <v>16250</v>
      </c>
      <c r="I161" s="108">
        <f>VLOOKUP(D161,База!$A$4:$AF$177,32,FALSE)</f>
        <v>16250</v>
      </c>
      <c r="J161" s="87">
        <f>VLOOKUP(D161,База!$A$4:$AG$177,33,FALSE)</f>
        <v>100</v>
      </c>
      <c r="K161" s="108">
        <f>VLOOKUP(D161,База!$A$4:$V$177,22,FALSE)</f>
        <v>12790</v>
      </c>
      <c r="L161" s="108">
        <f>VLOOKUP(D161,База!$A$4:$W$177,23,FALSE)</f>
        <v>12790</v>
      </c>
      <c r="M161" s="87">
        <f>VLOOKUP(D161,База!$A$4:$X$177,24,0)</f>
        <v>100</v>
      </c>
      <c r="N161" s="95"/>
    </row>
    <row r="162" spans="2:14" x14ac:dyDescent="0.25">
      <c r="B162" s="92"/>
      <c r="C162" s="93">
        <v>155</v>
      </c>
      <c r="D162" s="107" t="s">
        <v>314</v>
      </c>
      <c r="E162" s="108">
        <f>VLOOKUP(D162,База!$A$4:$X$177,7,0)</f>
        <v>23490</v>
      </c>
      <c r="F162" s="108">
        <f>VLOOKUP(D162,База!$A$4:$X$177,8,0)</f>
        <v>23490</v>
      </c>
      <c r="G162" s="87">
        <f>VLOOKUP(D162,База!$A$4:$O$177,15,FALSE)</f>
        <v>100</v>
      </c>
      <c r="H162" s="108">
        <f>VLOOKUP(D162,База!$A$4:$AE$177,31,FALSE)</f>
        <v>18014</v>
      </c>
      <c r="I162" s="108">
        <f>VLOOKUP(D162,База!$A$4:$AF$177,32,FALSE)</f>
        <v>18014</v>
      </c>
      <c r="J162" s="87">
        <f>VLOOKUP(D162,База!$A$4:$AG$177,33,FALSE)</f>
        <v>100</v>
      </c>
      <c r="K162" s="108">
        <f>VLOOKUP(D162,База!$A$4:$V$177,22,FALSE)</f>
        <v>10352</v>
      </c>
      <c r="L162" s="108">
        <f>VLOOKUP(D162,База!$A$4:$W$177,23,FALSE)</f>
        <v>10352</v>
      </c>
      <c r="M162" s="87">
        <f>VLOOKUP(D162,База!$A$4:$X$177,24,0)</f>
        <v>100</v>
      </c>
      <c r="N162" s="95"/>
    </row>
    <row r="163" spans="2:14" x14ac:dyDescent="0.25">
      <c r="B163" s="92"/>
      <c r="C163" s="93">
        <v>156</v>
      </c>
      <c r="D163" s="107" t="s">
        <v>30</v>
      </c>
      <c r="E163" s="108">
        <f>VLOOKUP(D163,База!$A$4:$X$177,7,0)</f>
        <v>7114</v>
      </c>
      <c r="F163" s="108">
        <f>VLOOKUP(D163,База!$A$4:$X$177,8,0)</f>
        <v>7114</v>
      </c>
      <c r="G163" s="87">
        <f>VLOOKUP(D163,База!$A$4:$O$177,15,FALSE)</f>
        <v>100</v>
      </c>
      <c r="H163" s="108">
        <f>VLOOKUP(D163,База!$A$4:$AE$177,31,FALSE)</f>
        <v>7114</v>
      </c>
      <c r="I163" s="108">
        <f>VLOOKUP(D163,База!$A$4:$AF$177,32,FALSE)</f>
        <v>7114</v>
      </c>
      <c r="J163" s="87">
        <f>VLOOKUP(D163,База!$A$4:$AG$177,33,FALSE)</f>
        <v>100</v>
      </c>
      <c r="K163" s="108">
        <f>VLOOKUP(D163,База!$A$4:$V$177,22,FALSE)</f>
        <v>7114</v>
      </c>
      <c r="L163" s="108">
        <f>VLOOKUP(D163,База!$A$4:$W$177,23,FALSE)</f>
        <v>7114</v>
      </c>
      <c r="M163" s="87">
        <f>VLOOKUP(D163,База!$A$4:$X$177,24,0)</f>
        <v>100</v>
      </c>
      <c r="N163" s="95"/>
    </row>
    <row r="164" spans="2:14" x14ac:dyDescent="0.25">
      <c r="B164" s="92"/>
      <c r="C164" s="93">
        <v>157</v>
      </c>
      <c r="D164" s="107" t="s">
        <v>150</v>
      </c>
      <c r="E164" s="108">
        <f>VLOOKUP(D164,База!$A$4:$X$177,7,0)</f>
        <v>250026</v>
      </c>
      <c r="F164" s="108">
        <f>VLOOKUP(D164,База!$A$4:$X$177,8,0)</f>
        <v>250026</v>
      </c>
      <c r="G164" s="87">
        <f>VLOOKUP(D164,База!$A$4:$O$177,15,FALSE)</f>
        <v>100</v>
      </c>
      <c r="H164" s="108">
        <f>VLOOKUP(D164,База!$A$4:$AE$177,31,FALSE)</f>
        <v>250026</v>
      </c>
      <c r="I164" s="108">
        <f>VLOOKUP(D164,База!$A$4:$AF$177,32,FALSE)</f>
        <v>250026</v>
      </c>
      <c r="J164" s="87">
        <f>VLOOKUP(D164,База!$A$4:$AG$177,33,FALSE)</f>
        <v>100</v>
      </c>
      <c r="K164" s="108">
        <f>VLOOKUP(D164,База!$A$4:$V$177,22,FALSE)</f>
        <v>233306</v>
      </c>
      <c r="L164" s="108">
        <f>VLOOKUP(D164,База!$A$4:$W$177,23,FALSE)</f>
        <v>233306</v>
      </c>
      <c r="M164" s="87">
        <f>VLOOKUP(D164,База!$A$4:$X$177,24,0)</f>
        <v>100</v>
      </c>
      <c r="N164" s="95"/>
    </row>
    <row r="165" spans="2:14" x14ac:dyDescent="0.25">
      <c r="B165" s="92"/>
      <c r="C165" s="93">
        <v>158</v>
      </c>
      <c r="D165" s="107" t="s">
        <v>316</v>
      </c>
      <c r="E165" s="108">
        <f>VLOOKUP(D165,База!$A$4:$X$177,7,0)</f>
        <v>220274</v>
      </c>
      <c r="F165" s="108">
        <f>VLOOKUP(D165,База!$A$4:$X$177,8,0)</f>
        <v>220274</v>
      </c>
      <c r="G165" s="87">
        <f>VLOOKUP(D165,База!$A$4:$O$177,15,FALSE)</f>
        <v>100</v>
      </c>
      <c r="H165" s="108">
        <f>VLOOKUP(D165,База!$A$4:$AE$177,31,FALSE)</f>
        <v>190970</v>
      </c>
      <c r="I165" s="108">
        <f>VLOOKUP(D165,База!$A$4:$AF$177,32,FALSE)</f>
        <v>190970</v>
      </c>
      <c r="J165" s="87">
        <f>VLOOKUP(D165,База!$A$4:$AG$177,33,FALSE)</f>
        <v>100</v>
      </c>
      <c r="K165" s="108">
        <f>VLOOKUP(D165,База!$A$4:$V$177,22,FALSE)</f>
        <v>122707</v>
      </c>
      <c r="L165" s="108">
        <f>VLOOKUP(D165,База!$A$4:$W$177,23,FALSE)</f>
        <v>122707</v>
      </c>
      <c r="M165" s="87">
        <f>VLOOKUP(D165,База!$A$4:$X$177,24,0)</f>
        <v>100</v>
      </c>
      <c r="N165" s="95"/>
    </row>
    <row r="166" spans="2:14" x14ac:dyDescent="0.25">
      <c r="B166" s="92"/>
      <c r="C166" s="93">
        <v>159</v>
      </c>
      <c r="D166" s="107" t="s">
        <v>151</v>
      </c>
      <c r="E166" s="108">
        <f>VLOOKUP(D166,База!$A$4:$X$177,7,0)</f>
        <v>45356</v>
      </c>
      <c r="F166" s="108">
        <f>VLOOKUP(D166,База!$A$4:$X$177,8,0)</f>
        <v>45356</v>
      </c>
      <c r="G166" s="87">
        <f>VLOOKUP(D166,База!$A$4:$O$177,15,FALSE)</f>
        <v>100</v>
      </c>
      <c r="H166" s="108">
        <f>VLOOKUP(D166,База!$A$4:$AE$177,31,FALSE)</f>
        <v>45356</v>
      </c>
      <c r="I166" s="108">
        <f>VLOOKUP(D166,База!$A$4:$AF$177,32,FALSE)</f>
        <v>45356</v>
      </c>
      <c r="J166" s="87">
        <f>VLOOKUP(D166,База!$A$4:$AG$177,33,FALSE)</f>
        <v>100</v>
      </c>
      <c r="K166" s="108">
        <f>VLOOKUP(D166,База!$A$4:$V$177,22,FALSE)</f>
        <v>33711</v>
      </c>
      <c r="L166" s="108">
        <f>VLOOKUP(D166,База!$A$4:$W$177,23,FALSE)</f>
        <v>33711</v>
      </c>
      <c r="M166" s="87">
        <f>VLOOKUP(D166,База!$A$4:$X$177,24,0)</f>
        <v>100</v>
      </c>
      <c r="N166" s="95"/>
    </row>
    <row r="167" spans="2:14" x14ac:dyDescent="0.25">
      <c r="B167" s="92"/>
      <c r="C167" s="93">
        <v>160</v>
      </c>
      <c r="D167" s="107" t="s">
        <v>120</v>
      </c>
      <c r="E167" s="108">
        <f>VLOOKUP(D167,База!$A$4:$X$177,7,0)</f>
        <v>4847320</v>
      </c>
      <c r="F167" s="108">
        <f>VLOOKUP(D167,База!$A$4:$X$177,8,0)</f>
        <v>4847320</v>
      </c>
      <c r="G167" s="87">
        <f>VLOOKUP(D167,База!$A$4:$O$177,15,FALSE)</f>
        <v>100</v>
      </c>
      <c r="H167" s="108">
        <f>VLOOKUP(D167,База!$A$4:$AE$177,31,FALSE)</f>
        <v>4525032</v>
      </c>
      <c r="I167" s="108">
        <f>VLOOKUP(D167,База!$A$4:$AF$177,32,FALSE)</f>
        <v>4525032</v>
      </c>
      <c r="J167" s="87">
        <f>VLOOKUP(D167,База!$A$4:$AG$177,33,FALSE)</f>
        <v>100</v>
      </c>
      <c r="K167" s="108">
        <f>VLOOKUP(D167,База!$A$4:$V$177,22,FALSE)</f>
        <v>3747540</v>
      </c>
      <c r="L167" s="108">
        <f>VLOOKUP(D167,База!$A$4:$W$177,23,FALSE)</f>
        <v>3747540</v>
      </c>
      <c r="M167" s="87">
        <f>VLOOKUP(D167,База!$A$4:$X$177,24,0)</f>
        <v>100</v>
      </c>
      <c r="N167" s="95"/>
    </row>
    <row r="168" spans="2:14" x14ac:dyDescent="0.25">
      <c r="B168" s="92"/>
      <c r="C168" s="93">
        <v>161</v>
      </c>
      <c r="D168" s="107" t="s">
        <v>169</v>
      </c>
      <c r="E168" s="108">
        <f>VLOOKUP(D168,База!$A$4:$X$177,7,0)</f>
        <v>155480</v>
      </c>
      <c r="F168" s="108">
        <f>VLOOKUP(D168,База!$A$4:$X$177,8,0)</f>
        <v>146868</v>
      </c>
      <c r="G168" s="87">
        <f>VLOOKUP(D168,База!$A$4:$O$177,15,FALSE)</f>
        <v>94.461023925906872</v>
      </c>
      <c r="H168" s="108">
        <f>VLOOKUP(D168,База!$A$4:$AE$177,31,FALSE)</f>
        <v>149230</v>
      </c>
      <c r="I168" s="108">
        <f>VLOOKUP(D168,База!$A$4:$AF$177,32,FALSE)</f>
        <v>140701</v>
      </c>
      <c r="J168" s="87">
        <f>VLOOKUP(D168,База!$A$4:$AG$177,33,FALSE)</f>
        <v>94.284661261140528</v>
      </c>
      <c r="K168" s="108">
        <f>VLOOKUP(D168,База!$A$4:$V$177,22,FALSE)</f>
        <v>66450</v>
      </c>
      <c r="L168" s="108">
        <f>VLOOKUP(D168,База!$A$4:$W$177,23,FALSE)</f>
        <v>66450</v>
      </c>
      <c r="M168" s="87">
        <f>VLOOKUP(D168,База!$A$4:$X$177,24,0)</f>
        <v>100</v>
      </c>
      <c r="N168" s="95"/>
    </row>
    <row r="169" spans="2:14" x14ac:dyDescent="0.25">
      <c r="B169" s="92"/>
      <c r="C169" s="93">
        <v>162</v>
      </c>
      <c r="D169" s="107" t="s">
        <v>170</v>
      </c>
      <c r="E169" s="108">
        <f>VLOOKUP(D169,База!$A$4:$X$177,7,0)</f>
        <v>1009409</v>
      </c>
      <c r="F169" s="108">
        <f>VLOOKUP(D169,База!$A$4:$X$177,8,0)</f>
        <v>934413</v>
      </c>
      <c r="G169" s="87">
        <f>VLOOKUP(D169,База!$A$4:$O$177,15,FALSE)</f>
        <v>92.570305990931331</v>
      </c>
      <c r="H169" s="108">
        <f>VLOOKUP(D169,База!$A$4:$AE$177,31,FALSE)</f>
        <v>997325</v>
      </c>
      <c r="I169" s="108">
        <f>VLOOKUP(D169,База!$A$4:$AF$177,32,FALSE)</f>
        <v>922329</v>
      </c>
      <c r="J169" s="87">
        <f>VLOOKUP(D169,База!$A$4:$AG$177,33,FALSE)</f>
        <v>92.48028476173765</v>
      </c>
      <c r="K169" s="108">
        <f>VLOOKUP(D169,База!$A$4:$V$177,22,FALSE)</f>
        <v>869954</v>
      </c>
      <c r="L169" s="108">
        <f>VLOOKUP(D169,База!$A$4:$W$177,23,FALSE)</f>
        <v>827586</v>
      </c>
      <c r="M169" s="87">
        <f>VLOOKUP(D169,База!$A$4:$X$177,24,0)</f>
        <v>95.129857440738235</v>
      </c>
      <c r="N169" s="95"/>
    </row>
    <row r="170" spans="2:14" x14ac:dyDescent="0.25">
      <c r="B170" s="92"/>
      <c r="C170" s="93">
        <v>163</v>
      </c>
      <c r="D170" s="107" t="s">
        <v>207</v>
      </c>
      <c r="E170" s="108">
        <f>VLOOKUP(D170,База!$A$4:$X$177,7,0)</f>
        <v>436280</v>
      </c>
      <c r="F170" s="108">
        <f>VLOOKUP(D170,База!$A$4:$X$177,8,0)</f>
        <v>393604</v>
      </c>
      <c r="G170" s="87">
        <f>VLOOKUP(D170,База!$A$4:$O$177,15,FALSE)</f>
        <v>90.218208489960574</v>
      </c>
      <c r="H170" s="108">
        <f>VLOOKUP(D170,База!$A$4:$AE$177,31,FALSE)</f>
        <v>406080</v>
      </c>
      <c r="I170" s="108">
        <f>VLOOKUP(D170,База!$A$4:$AF$177,32,FALSE)</f>
        <v>375658</v>
      </c>
      <c r="J170" s="87">
        <f>VLOOKUP(D170,База!$A$4:$AG$177,33,FALSE)</f>
        <v>92.508372734436563</v>
      </c>
      <c r="K170" s="108">
        <f>VLOOKUP(D170,База!$A$4:$V$177,22,FALSE)</f>
        <v>280973</v>
      </c>
      <c r="L170" s="108">
        <f>VLOOKUP(D170,База!$A$4:$W$177,23,FALSE)</f>
        <v>280973</v>
      </c>
      <c r="M170" s="87">
        <f>VLOOKUP(D170,База!$A$4:$X$177,24,0)</f>
        <v>100</v>
      </c>
      <c r="N170" s="95"/>
    </row>
    <row r="171" spans="2:14" x14ac:dyDescent="0.25">
      <c r="B171" s="92"/>
      <c r="C171" s="93">
        <v>164</v>
      </c>
      <c r="D171" s="110" t="s">
        <v>202</v>
      </c>
      <c r="E171" s="108">
        <f>VLOOKUP(D171,База!$A$4:$X$177,7,0)</f>
        <v>147771</v>
      </c>
      <c r="F171" s="108">
        <f>VLOOKUP(D171,База!$A$4:$X$177,8,0)</f>
        <v>138230</v>
      </c>
      <c r="G171" s="87">
        <f>VLOOKUP(D171,База!$A$4:$O$177,15,FALSE)</f>
        <v>93.543388080205176</v>
      </c>
      <c r="H171" s="108">
        <f>VLOOKUP(D171,База!$A$4:$AE$177,31,FALSE)</f>
        <v>145956</v>
      </c>
      <c r="I171" s="108">
        <f>VLOOKUP(D171,База!$A$4:$AF$177,32,FALSE)</f>
        <v>136415</v>
      </c>
      <c r="J171" s="87">
        <f>VLOOKUP(D171,База!$A$4:$AG$177,33,FALSE)</f>
        <v>93.463098468031461</v>
      </c>
      <c r="K171" s="108">
        <f>VLOOKUP(D171,База!$A$4:$V$177,22,FALSE)</f>
        <v>93101</v>
      </c>
      <c r="L171" s="108">
        <f>VLOOKUP(D171,База!$A$4:$W$177,23,FALSE)</f>
        <v>93101</v>
      </c>
      <c r="M171" s="87">
        <f>VLOOKUP(D171,База!$A$4:$X$177,24,0)</f>
        <v>100</v>
      </c>
      <c r="N171" s="95"/>
    </row>
    <row r="172" spans="2:14" x14ac:dyDescent="0.25">
      <c r="B172" s="92"/>
      <c r="C172" s="93">
        <v>165</v>
      </c>
      <c r="D172" s="111" t="s">
        <v>90</v>
      </c>
      <c r="E172" s="108">
        <f>VLOOKUP(D172,База!$A$4:$X$177,7,0)</f>
        <v>33492</v>
      </c>
      <c r="F172" s="108">
        <f>VLOOKUP(D172,База!$A$4:$X$177,8,0)</f>
        <v>33492</v>
      </c>
      <c r="G172" s="87">
        <f>VLOOKUP(D172,База!$A$4:$O$177,15,FALSE)</f>
        <v>100</v>
      </c>
      <c r="H172" s="108">
        <f>VLOOKUP(D172,База!$A$4:$AE$177,31,FALSE)</f>
        <v>33492</v>
      </c>
      <c r="I172" s="108">
        <f>VLOOKUP(D172,База!$A$4:$AF$177,32,FALSE)</f>
        <v>33492</v>
      </c>
      <c r="J172" s="87">
        <f>VLOOKUP(D172,База!$A$4:$AG$177,33,FALSE)</f>
        <v>100</v>
      </c>
      <c r="K172" s="108">
        <f>VLOOKUP(D172,База!$A$4:$V$177,22,FALSE)</f>
        <v>33492</v>
      </c>
      <c r="L172" s="108">
        <f>VLOOKUP(D172,База!$A$4:$W$177,23,FALSE)</f>
        <v>33492</v>
      </c>
      <c r="M172" s="87">
        <f>VLOOKUP(D172,База!$A$4:$X$177,24,0)</f>
        <v>100</v>
      </c>
      <c r="N172" s="95"/>
    </row>
    <row r="173" spans="2:14" x14ac:dyDescent="0.25">
      <c r="B173" s="92"/>
      <c r="C173" s="93">
        <v>166</v>
      </c>
      <c r="D173" s="110" t="s">
        <v>91</v>
      </c>
      <c r="E173" s="108">
        <f>VLOOKUP(D173,База!$A$4:$X$177,7,0)</f>
        <v>49056</v>
      </c>
      <c r="F173" s="108">
        <f>VLOOKUP(D173,База!$A$4:$X$177,8,0)</f>
        <v>49056</v>
      </c>
      <c r="G173" s="87">
        <f>VLOOKUP(D173,База!$A$4:$O$177,15,FALSE)</f>
        <v>100</v>
      </c>
      <c r="H173" s="108">
        <f>VLOOKUP(D173,База!$A$4:$AE$177,31,FALSE)</f>
        <v>49056</v>
      </c>
      <c r="I173" s="108">
        <f>VLOOKUP(D173,База!$A$4:$AF$177,32,FALSE)</f>
        <v>49056</v>
      </c>
      <c r="J173" s="87">
        <f>VLOOKUP(D173,База!$A$4:$AG$177,33,FALSE)</f>
        <v>100</v>
      </c>
      <c r="K173" s="108">
        <f>VLOOKUP(D173,База!$A$4:$V$177,22,FALSE)</f>
        <v>45556</v>
      </c>
      <c r="L173" s="108">
        <f>VLOOKUP(D173,База!$A$4:$W$177,23,FALSE)</f>
        <v>45556</v>
      </c>
      <c r="M173" s="87">
        <f>VLOOKUP(D173,База!$A$4:$X$177,24,0)</f>
        <v>100</v>
      </c>
      <c r="N173" s="95"/>
    </row>
    <row r="174" spans="2:14" x14ac:dyDescent="0.25">
      <c r="B174" s="92"/>
      <c r="C174" s="93">
        <v>167</v>
      </c>
      <c r="D174" s="109" t="s">
        <v>92</v>
      </c>
      <c r="E174" s="108">
        <f>VLOOKUP(D174,База!$A$4:$X$177,7,0)</f>
        <v>44697</v>
      </c>
      <c r="F174" s="108">
        <f>VLOOKUP(D174,База!$A$4:$X$177,8,0)</f>
        <v>44697</v>
      </c>
      <c r="G174" s="87">
        <f>VLOOKUP(D174,База!$A$4:$O$177,15,FALSE)</f>
        <v>100</v>
      </c>
      <c r="H174" s="108">
        <f>VLOOKUP(D174,База!$A$4:$AE$177,31,FALSE)</f>
        <v>44697</v>
      </c>
      <c r="I174" s="108">
        <f>VLOOKUP(D174,База!$A$4:$AF$177,32,FALSE)</f>
        <v>44697</v>
      </c>
      <c r="J174" s="87">
        <f>VLOOKUP(D174,База!$A$4:$AG$177,33,FALSE)</f>
        <v>100</v>
      </c>
      <c r="K174" s="108">
        <f>VLOOKUP(D174,База!$A$4:$V$177,22,FALSE)</f>
        <v>30501</v>
      </c>
      <c r="L174" s="108">
        <f>VLOOKUP(D174,База!$A$4:$W$177,23,FALSE)</f>
        <v>30501</v>
      </c>
      <c r="M174" s="87">
        <f>VLOOKUP(D174,База!$A$4:$X$177,24,0)</f>
        <v>100</v>
      </c>
      <c r="N174" s="95"/>
    </row>
    <row r="175" spans="2:14" x14ac:dyDescent="0.25">
      <c r="B175" s="92"/>
      <c r="C175" s="93">
        <v>168</v>
      </c>
      <c r="D175" s="110" t="s">
        <v>24</v>
      </c>
      <c r="E175" s="108">
        <f>VLOOKUP(D175,База!$A$4:$X$177,7,0)</f>
        <v>476626</v>
      </c>
      <c r="F175" s="108">
        <f>VLOOKUP(D175,База!$A$4:$X$177,8,0)</f>
        <v>476626</v>
      </c>
      <c r="G175" s="87">
        <f>VLOOKUP(D175,База!$A$4:$O$177,15,FALSE)</f>
        <v>100</v>
      </c>
      <c r="H175" s="108">
        <f>VLOOKUP(D175,База!$A$4:$AE$177,31,FALSE)</f>
        <v>474841</v>
      </c>
      <c r="I175" s="108">
        <f>VLOOKUP(D175,База!$A$4:$AF$177,32,FALSE)</f>
        <v>474841</v>
      </c>
      <c r="J175" s="87">
        <f>VLOOKUP(D175,База!$A$4:$AG$177,33,FALSE)</f>
        <v>100</v>
      </c>
      <c r="K175" s="108">
        <f>VLOOKUP(D175,База!$A$4:$V$177,22,FALSE)</f>
        <v>430452</v>
      </c>
      <c r="L175" s="108">
        <f>VLOOKUP(D175,База!$A$4:$W$177,23,FALSE)</f>
        <v>430452</v>
      </c>
      <c r="M175" s="87">
        <f>VLOOKUP(D175,База!$A$4:$X$177,24,0)</f>
        <v>100</v>
      </c>
      <c r="N175" s="95"/>
    </row>
    <row r="176" spans="2:14" x14ac:dyDescent="0.25">
      <c r="B176" s="92"/>
      <c r="C176" s="93">
        <v>169</v>
      </c>
      <c r="D176" s="109" t="s">
        <v>31</v>
      </c>
      <c r="E176" s="108">
        <f>VLOOKUP(D176,База!$A$4:$X$177,7,0)</f>
        <v>56380</v>
      </c>
      <c r="F176" s="108">
        <f>VLOOKUP(D176,База!$A$4:$X$177,8,0)</f>
        <v>54827</v>
      </c>
      <c r="G176" s="87">
        <f>VLOOKUP(D176,База!$A$4:$O$177,15,FALSE)</f>
        <v>97.245477119545939</v>
      </c>
      <c r="H176" s="108">
        <f>VLOOKUP(D176,База!$A$4:$AE$177,31,FALSE)</f>
        <v>56380</v>
      </c>
      <c r="I176" s="108">
        <f>VLOOKUP(D176,База!$A$4:$AF$177,32,FALSE)</f>
        <v>54827</v>
      </c>
      <c r="J176" s="87">
        <f>VLOOKUP(D176,База!$A$4:$AG$177,33,FALSE)</f>
        <v>97.245477119545939</v>
      </c>
      <c r="K176" s="108">
        <f>VLOOKUP(D176,База!$A$4:$V$177,22,FALSE)</f>
        <v>52149</v>
      </c>
      <c r="L176" s="108">
        <f>VLOOKUP(D176,База!$A$4:$W$177,23,FALSE)</f>
        <v>51062</v>
      </c>
      <c r="M176" s="87">
        <f>VLOOKUP(D176,База!$A$4:$X$177,24,0)</f>
        <v>97.915588026616035</v>
      </c>
      <c r="N176" s="95"/>
    </row>
    <row r="177" spans="2:14" x14ac:dyDescent="0.25">
      <c r="B177" s="92"/>
      <c r="C177" s="93">
        <v>170</v>
      </c>
      <c r="D177" s="109" t="s">
        <v>32</v>
      </c>
      <c r="E177" s="108">
        <f>VLOOKUP(D177,База!$A$4:$X$177,7,0)</f>
        <v>43240</v>
      </c>
      <c r="F177" s="108">
        <f>VLOOKUP(D177,База!$A$4:$X$177,8,0)</f>
        <v>13312</v>
      </c>
      <c r="G177" s="87">
        <f>VLOOKUP(D177,База!$A$4:$O$177,15,FALSE)</f>
        <v>30.786308973172989</v>
      </c>
      <c r="H177" s="108">
        <f>VLOOKUP(D177,База!$A$4:$AE$177,31,FALSE)</f>
        <v>43240</v>
      </c>
      <c r="I177" s="108">
        <f>VLOOKUP(D177,База!$A$4:$AF$177,32,FALSE)</f>
        <v>13312</v>
      </c>
      <c r="J177" s="87">
        <f>VLOOKUP(D177,База!$A$4:$AG$177,33,FALSE)</f>
        <v>30.786308973172989</v>
      </c>
      <c r="K177" s="108">
        <f>VLOOKUP(D177,База!$A$4:$V$177,22,FALSE)</f>
        <v>39397</v>
      </c>
      <c r="L177" s="108">
        <f>VLOOKUP(D177,База!$A$4:$W$177,23,FALSE)</f>
        <v>11175</v>
      </c>
      <c r="M177" s="87">
        <f>VLOOKUP(D177,База!$A$4:$X$177,24,0)</f>
        <v>28.365103941924513</v>
      </c>
      <c r="N177" s="95"/>
    </row>
    <row r="178" spans="2:14" x14ac:dyDescent="0.25">
      <c r="B178" s="92"/>
      <c r="C178" s="93">
        <v>171</v>
      </c>
      <c r="D178" s="109" t="s">
        <v>89</v>
      </c>
      <c r="E178" s="108">
        <f>VLOOKUP(D178,База!$A$4:$X$177,7,0)</f>
        <v>198204</v>
      </c>
      <c r="F178" s="108">
        <f>VLOOKUP(D178,База!$A$4:$X$177,8,0)</f>
        <v>198204</v>
      </c>
      <c r="G178" s="87">
        <f>VLOOKUP(D178,База!$A$4:$O$177,15,FALSE)</f>
        <v>100</v>
      </c>
      <c r="H178" s="108">
        <f>VLOOKUP(D178,База!$A$4:$AE$177,31,FALSE)</f>
        <v>198204</v>
      </c>
      <c r="I178" s="108">
        <f>VLOOKUP(D178,База!$A$4:$AF$177,32,FALSE)</f>
        <v>198204</v>
      </c>
      <c r="J178" s="87">
        <f>VLOOKUP(D178,База!$A$4:$AG$177,33,FALSE)</f>
        <v>100</v>
      </c>
      <c r="K178" s="108">
        <f>VLOOKUP(D178,База!$A$4:$V$177,22,FALSE)</f>
        <v>180402</v>
      </c>
      <c r="L178" s="108">
        <f>VLOOKUP(D178,База!$A$4:$W$177,23,FALSE)</f>
        <v>180402</v>
      </c>
      <c r="M178" s="87">
        <f>VLOOKUP(D178,База!$A$4:$X$177,24,0)</f>
        <v>100</v>
      </c>
      <c r="N178" s="95"/>
    </row>
    <row r="179" spans="2:14" x14ac:dyDescent="0.25">
      <c r="B179" s="92"/>
      <c r="C179" s="93">
        <v>172</v>
      </c>
      <c r="D179" s="110" t="s">
        <v>23</v>
      </c>
      <c r="E179" s="108">
        <f>VLOOKUP(D179,База!$A$4:$X$177,7,0)</f>
        <v>198947</v>
      </c>
      <c r="F179" s="108">
        <f>VLOOKUP(D179,База!$A$4:$X$177,8,0)</f>
        <v>25666</v>
      </c>
      <c r="G179" s="87">
        <f>VLOOKUP(D179,База!$A$4:$O$177,15,FALSE)</f>
        <v>12.900923361498288</v>
      </c>
      <c r="H179" s="108">
        <f>VLOOKUP(D179,База!$A$4:$AE$177,31,FALSE)</f>
        <v>198947</v>
      </c>
      <c r="I179" s="108">
        <f>VLOOKUP(D179,База!$A$4:$AF$177,32,FALSE)</f>
        <v>25666</v>
      </c>
      <c r="J179" s="87">
        <f>VLOOKUP(D179,База!$A$4:$AG$177,33,FALSE)</f>
        <v>12.900923361498288</v>
      </c>
      <c r="K179" s="108">
        <f>VLOOKUP(D179,База!$A$4:$V$177,22,FALSE)</f>
        <v>186571</v>
      </c>
      <c r="L179" s="108">
        <f>VLOOKUP(D179,База!$A$4:$W$177,23,FALSE)</f>
        <v>20697</v>
      </c>
      <c r="M179" s="87">
        <f>VLOOKUP(D179,База!$A$4:$X$177,24,0)</f>
        <v>11.093363920437795</v>
      </c>
      <c r="N179" s="95"/>
    </row>
    <row r="180" spans="2:14" x14ac:dyDescent="0.25">
      <c r="B180" s="92"/>
      <c r="C180" s="93">
        <v>173</v>
      </c>
      <c r="D180" s="109" t="s">
        <v>93</v>
      </c>
      <c r="E180" s="108">
        <f>VLOOKUP(D180,База!$A$4:$X$177,7,0)</f>
        <v>148482</v>
      </c>
      <c r="F180" s="108">
        <f>VLOOKUP(D180,База!$A$4:$X$177,8,0)</f>
        <v>27719</v>
      </c>
      <c r="G180" s="87">
        <f>VLOOKUP(D180,База!$A$4:$O$177,15,FALSE)</f>
        <v>18.668256084912649</v>
      </c>
      <c r="H180" s="108">
        <f>VLOOKUP(D180,База!$A$4:$AE$177,31,FALSE)</f>
        <v>148482</v>
      </c>
      <c r="I180" s="108">
        <f>VLOOKUP(D180,База!$A$4:$AF$177,32,FALSE)</f>
        <v>27719</v>
      </c>
      <c r="J180" s="87">
        <f>VLOOKUP(D180,База!$A$4:$AG$177,33,FALSE)</f>
        <v>18.668256084912649</v>
      </c>
      <c r="K180" s="108">
        <f>VLOOKUP(D180,База!$A$4:$V$177,22,FALSE)</f>
        <v>122138</v>
      </c>
      <c r="L180" s="108">
        <f>VLOOKUP(D180,База!$A$4:$W$177,23,FALSE)</f>
        <v>20018</v>
      </c>
      <c r="M180" s="87">
        <f>VLOOKUP(D180,База!$A$4:$X$177,24,0)</f>
        <v>16.389657600419199</v>
      </c>
      <c r="N180" s="95"/>
    </row>
    <row r="181" spans="2:14" x14ac:dyDescent="0.25">
      <c r="B181" s="92"/>
      <c r="C181" s="93">
        <v>174</v>
      </c>
      <c r="D181" s="109" t="s">
        <v>25</v>
      </c>
      <c r="E181" s="108">
        <f>VLOOKUP(D181,База!$A$4:$X$177,7,0)</f>
        <v>100550</v>
      </c>
      <c r="F181" s="108">
        <f>VLOOKUP(D181,База!$A$4:$X$177,8,0)</f>
        <v>5401</v>
      </c>
      <c r="G181" s="87">
        <f>VLOOKUP(D181,База!$A$4:$O$177,15,FALSE)</f>
        <v>5.3714569865738442</v>
      </c>
      <c r="H181" s="108">
        <f>VLOOKUP(D181,База!$A$4:$AE$177,31,FALSE)</f>
        <v>100550</v>
      </c>
      <c r="I181" s="108">
        <f>VLOOKUP(D181,База!$A$4:$AF$177,32,FALSE)</f>
        <v>5401</v>
      </c>
      <c r="J181" s="87">
        <f>VLOOKUP(D181,База!$A$4:$AG$177,33,FALSE)</f>
        <v>5.3714569865738433</v>
      </c>
      <c r="K181" s="108">
        <f>VLOOKUP(D181,База!$A$4:$V$177,22,FALSE)</f>
        <v>95442</v>
      </c>
      <c r="L181" s="108">
        <f>VLOOKUP(D181,База!$A$4:$W$177,23,FALSE)</f>
        <v>4075</v>
      </c>
      <c r="M181" s="87">
        <f>VLOOKUP(D181,База!$A$4:$X$177,24,0)</f>
        <v>4.2696087676285073</v>
      </c>
      <c r="N181" s="95"/>
    </row>
    <row r="182" spans="2:14" ht="8.25" customHeight="1" thickBot="1" x14ac:dyDescent="0.3">
      <c r="B182" s="112"/>
      <c r="C182" s="113"/>
      <c r="D182" s="113"/>
      <c r="E182" s="113"/>
      <c r="F182" s="114"/>
      <c r="G182" s="115"/>
      <c r="H182" s="113"/>
      <c r="I182" s="113"/>
      <c r="J182" s="115"/>
      <c r="K182" s="113"/>
      <c r="L182" s="114"/>
      <c r="M182" s="115"/>
      <c r="N182" s="116"/>
    </row>
    <row r="184" spans="2:14" x14ac:dyDescent="0.25">
      <c r="C184" s="135" t="s">
        <v>318</v>
      </c>
      <c r="D184" s="200" t="s">
        <v>319</v>
      </c>
      <c r="E184" s="200"/>
      <c r="F184" s="200"/>
      <c r="G184" s="200"/>
      <c r="H184" s="200"/>
      <c r="I184" s="200"/>
      <c r="J184" s="200"/>
      <c r="K184" s="200"/>
      <c r="L184" s="200"/>
      <c r="M184" s="200"/>
    </row>
    <row r="185" spans="2:14" x14ac:dyDescent="0.25">
      <c r="C185" s="136" t="s">
        <v>317</v>
      </c>
      <c r="D185" s="201" t="s">
        <v>320</v>
      </c>
      <c r="E185" s="201"/>
      <c r="F185" s="201"/>
      <c r="G185" s="201"/>
      <c r="H185" s="201"/>
      <c r="I185" s="201"/>
      <c r="J185" s="201"/>
      <c r="K185" s="201"/>
      <c r="L185" s="201"/>
      <c r="M185" s="201"/>
    </row>
    <row r="186" spans="2:14" x14ac:dyDescent="0.25">
      <c r="C186" s="135" t="s">
        <v>321</v>
      </c>
      <c r="D186" s="202" t="s">
        <v>322</v>
      </c>
      <c r="E186" s="202"/>
      <c r="F186" s="202"/>
      <c r="G186" s="202"/>
      <c r="H186" s="202"/>
      <c r="I186" s="202"/>
      <c r="J186" s="202"/>
      <c r="K186" s="202"/>
      <c r="L186" s="202"/>
      <c r="M186" s="202"/>
    </row>
  </sheetData>
  <mergeCells count="5">
    <mergeCell ref="D184:M184"/>
    <mergeCell ref="D185:M185"/>
    <mergeCell ref="D186:M186"/>
    <mergeCell ref="G3:J3"/>
    <mergeCell ref="L3:M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85" zoomScaleNormal="85" workbookViewId="0">
      <selection activeCell="L25" sqref="L25"/>
    </sheetView>
  </sheetViews>
  <sheetFormatPr defaultRowHeight="15" x14ac:dyDescent="0.25"/>
  <cols>
    <col min="2" max="2" width="1.140625" customWidth="1"/>
    <col min="3" max="3" width="87" customWidth="1"/>
    <col min="4" max="4" width="8.7109375" customWidth="1"/>
    <col min="5" max="5" width="8.7109375" style="13" customWidth="1"/>
    <col min="6" max="6" width="8.7109375" customWidth="1"/>
    <col min="7" max="8" width="8.7109375" style="86" customWidth="1"/>
    <col min="9" max="9" width="8.7109375" customWidth="1"/>
    <col min="10" max="10" width="1.140625" customWidth="1"/>
  </cols>
  <sheetData>
    <row r="1" spans="1:10" ht="15.75" thickBot="1" x14ac:dyDescent="0.3"/>
    <row r="2" spans="1:10" ht="6.75" customHeight="1" x14ac:dyDescent="0.25">
      <c r="B2" s="88"/>
      <c r="C2" s="89"/>
      <c r="D2" s="89"/>
      <c r="E2" s="90"/>
      <c r="F2" s="89"/>
      <c r="G2" s="117"/>
      <c r="H2" s="117"/>
      <c r="I2" s="89"/>
      <c r="J2" s="91"/>
    </row>
    <row r="3" spans="1:10" ht="17.25" x14ac:dyDescent="0.25">
      <c r="B3" s="92"/>
      <c r="C3" s="118"/>
      <c r="D3" s="119" t="s">
        <v>246</v>
      </c>
      <c r="E3" s="119"/>
      <c r="F3" s="119" t="s">
        <v>423</v>
      </c>
      <c r="G3" s="119"/>
      <c r="H3" s="119" t="s">
        <v>333</v>
      </c>
      <c r="I3" s="119"/>
      <c r="J3" s="95"/>
    </row>
    <row r="4" spans="1:10" x14ac:dyDescent="0.25">
      <c r="B4" s="92"/>
      <c r="C4" s="120"/>
      <c r="D4" s="121" t="s">
        <v>334</v>
      </c>
      <c r="E4" s="121" t="s">
        <v>335</v>
      </c>
      <c r="F4" s="121" t="s">
        <v>334</v>
      </c>
      <c r="G4" s="121" t="s">
        <v>335</v>
      </c>
      <c r="H4" s="121" t="s">
        <v>334</v>
      </c>
      <c r="I4" s="121" t="s">
        <v>335</v>
      </c>
      <c r="J4" s="95"/>
    </row>
    <row r="5" spans="1:10" x14ac:dyDescent="0.25">
      <c r="B5" s="92"/>
      <c r="C5" s="122" t="s">
        <v>326</v>
      </c>
      <c r="D5" s="123">
        <v>174</v>
      </c>
      <c r="E5" s="124">
        <v>100</v>
      </c>
      <c r="F5" s="162">
        <v>174</v>
      </c>
      <c r="G5" s="161">
        <v>100</v>
      </c>
      <c r="H5" s="123">
        <v>174</v>
      </c>
      <c r="I5" s="124">
        <v>100</v>
      </c>
      <c r="J5" s="95"/>
    </row>
    <row r="6" spans="1:10" x14ac:dyDescent="0.25">
      <c r="B6" s="92"/>
      <c r="C6" s="125" t="s">
        <v>327</v>
      </c>
      <c r="D6" s="123">
        <f>Преглед!C18</f>
        <v>165</v>
      </c>
      <c r="E6" s="124">
        <f>Преглед!D18</f>
        <v>94.827586206896555</v>
      </c>
      <c r="F6" s="123">
        <f>Преглед!K18</f>
        <v>165</v>
      </c>
      <c r="G6" s="124">
        <f>Преглед!L18</f>
        <v>94.827586206896555</v>
      </c>
      <c r="H6" s="123">
        <f>Преглед!G18</f>
        <v>168</v>
      </c>
      <c r="I6" s="124">
        <f>Преглед!H18</f>
        <v>96.551724137931032</v>
      </c>
      <c r="J6" s="95"/>
    </row>
    <row r="7" spans="1:10" x14ac:dyDescent="0.25">
      <c r="B7" s="92"/>
      <c r="C7" s="126" t="s">
        <v>328</v>
      </c>
      <c r="D7" s="189">
        <f>Преглед!C19</f>
        <v>5</v>
      </c>
      <c r="E7" s="190">
        <f>Преглед!D19</f>
        <v>2.8735632183908044</v>
      </c>
      <c r="F7" s="189">
        <f>Преглед!K19</f>
        <v>5</v>
      </c>
      <c r="G7" s="190">
        <f>Преглед!L19</f>
        <v>2.8735632183908044</v>
      </c>
      <c r="H7" s="189">
        <f>Преглед!G19</f>
        <v>2</v>
      </c>
      <c r="I7" s="190">
        <f>Преглед!H19</f>
        <v>1.1494252873563218</v>
      </c>
      <c r="J7" s="95"/>
    </row>
    <row r="8" spans="1:10" x14ac:dyDescent="0.25">
      <c r="B8" s="92"/>
      <c r="C8" s="126" t="s">
        <v>329</v>
      </c>
      <c r="D8" s="189">
        <f>Преглед!C20</f>
        <v>0</v>
      </c>
      <c r="E8" s="190">
        <f>Преглед!D20</f>
        <v>0</v>
      </c>
      <c r="F8" s="189">
        <f>Преглед!K20</f>
        <v>0</v>
      </c>
      <c r="G8" s="190">
        <f>Преглед!L20</f>
        <v>0</v>
      </c>
      <c r="H8" s="189">
        <f>Преглед!G20</f>
        <v>0</v>
      </c>
      <c r="I8" s="190">
        <f>Преглед!H20</f>
        <v>0</v>
      </c>
      <c r="J8" s="95"/>
    </row>
    <row r="9" spans="1:10" x14ac:dyDescent="0.25">
      <c r="B9" s="92"/>
      <c r="C9" s="126" t="s">
        <v>330</v>
      </c>
      <c r="D9" s="189">
        <f>Преглед!C21</f>
        <v>0</v>
      </c>
      <c r="E9" s="190">
        <f>Преглед!D21</f>
        <v>0</v>
      </c>
      <c r="F9" s="189">
        <f>Преглед!K21</f>
        <v>0</v>
      </c>
      <c r="G9" s="190">
        <f>Преглед!L21</f>
        <v>0</v>
      </c>
      <c r="H9" s="189">
        <f>Преглед!G21</f>
        <v>0</v>
      </c>
      <c r="I9" s="190">
        <f>Преглед!H21</f>
        <v>0</v>
      </c>
      <c r="J9" s="95"/>
    </row>
    <row r="10" spans="1:10" x14ac:dyDescent="0.25">
      <c r="B10" s="92"/>
      <c r="C10" s="126" t="s">
        <v>331</v>
      </c>
      <c r="D10" s="189">
        <f>Преглед!C22</f>
        <v>0</v>
      </c>
      <c r="E10" s="190">
        <f>Преглед!D22</f>
        <v>0</v>
      </c>
      <c r="F10" s="189">
        <f>Преглед!K22</f>
        <v>0</v>
      </c>
      <c r="G10" s="190">
        <f>Преглед!L22</f>
        <v>0</v>
      </c>
      <c r="H10" s="189">
        <f>Преглед!G22</f>
        <v>0</v>
      </c>
      <c r="I10" s="190">
        <f>Преглед!H22</f>
        <v>0</v>
      </c>
      <c r="J10" s="95"/>
    </row>
    <row r="11" spans="1:10" x14ac:dyDescent="0.25">
      <c r="B11" s="92"/>
      <c r="C11" s="126" t="s">
        <v>332</v>
      </c>
      <c r="D11" s="191">
        <f>Преглед!C23</f>
        <v>4</v>
      </c>
      <c r="E11" s="190">
        <f>Преглед!D23</f>
        <v>2.2988505747126435</v>
      </c>
      <c r="F11" s="189">
        <f>Преглед!K23</f>
        <v>4</v>
      </c>
      <c r="G11" s="190">
        <f>Преглед!L23</f>
        <v>2.2988505747126435</v>
      </c>
      <c r="H11" s="189">
        <f>Преглед!G23</f>
        <v>4</v>
      </c>
      <c r="I11" s="190">
        <f>Преглед!H23</f>
        <v>2.2988505747126435</v>
      </c>
      <c r="J11" s="95"/>
    </row>
    <row r="12" spans="1:10" ht="6.75" customHeight="1" thickBot="1" x14ac:dyDescent="0.3">
      <c r="B12" s="112"/>
      <c r="C12" s="113"/>
      <c r="D12" s="113"/>
      <c r="E12" s="114"/>
      <c r="F12" s="113"/>
      <c r="G12" s="115"/>
      <c r="H12" s="115"/>
      <c r="I12" s="113"/>
      <c r="J12" s="116"/>
    </row>
    <row r="13" spans="1:10" x14ac:dyDescent="0.25">
      <c r="A13" s="134" t="s">
        <v>318</v>
      </c>
      <c r="B13" s="93"/>
      <c r="C13" s="126" t="s">
        <v>319</v>
      </c>
      <c r="D13" s="78"/>
      <c r="E13" s="78"/>
      <c r="F13" s="78"/>
      <c r="G13" s="78"/>
      <c r="H13" s="78"/>
      <c r="I13" s="78"/>
      <c r="J13" s="74"/>
    </row>
    <row r="14" spans="1:10" x14ac:dyDescent="0.25">
      <c r="B14" s="93"/>
      <c r="C14" s="74"/>
      <c r="D14" s="76"/>
      <c r="E14" s="76"/>
      <c r="F14" s="76"/>
      <c r="G14" s="76"/>
      <c r="H14" s="76"/>
      <c r="I14" s="76"/>
      <c r="J14" s="74"/>
    </row>
    <row r="15" spans="1:10" x14ac:dyDescent="0.25">
      <c r="B15" s="93"/>
      <c r="C15" s="127"/>
      <c r="D15" s="128"/>
      <c r="E15" s="129"/>
      <c r="F15" s="128"/>
      <c r="G15" s="129"/>
      <c r="H15" s="128"/>
      <c r="I15" s="128"/>
      <c r="J15" s="74"/>
    </row>
    <row r="16" spans="1:10" x14ac:dyDescent="0.25">
      <c r="B16" s="93"/>
      <c r="C16" s="130"/>
      <c r="D16" s="128"/>
      <c r="E16" s="129"/>
      <c r="F16" s="128"/>
      <c r="G16" s="129"/>
      <c r="H16" s="128"/>
      <c r="I16" s="129"/>
      <c r="J16" s="74"/>
    </row>
    <row r="17" spans="2:10" x14ac:dyDescent="0.25">
      <c r="B17" s="93"/>
      <c r="C17" s="131"/>
      <c r="D17" s="77"/>
      <c r="E17" s="132"/>
      <c r="F17" s="77"/>
      <c r="G17" s="132"/>
      <c r="H17" s="77"/>
      <c r="I17" s="132"/>
      <c r="J17" s="74"/>
    </row>
    <row r="18" spans="2:10" x14ac:dyDescent="0.25">
      <c r="B18" s="93"/>
      <c r="C18" s="131"/>
      <c r="D18" s="77"/>
      <c r="E18" s="132"/>
      <c r="F18" s="77"/>
      <c r="G18" s="132"/>
      <c r="H18" s="77"/>
      <c r="I18" s="132"/>
      <c r="J18" s="74"/>
    </row>
    <row r="19" spans="2:10" x14ac:dyDescent="0.25">
      <c r="B19" s="93"/>
      <c r="C19" s="131"/>
      <c r="D19" s="77"/>
      <c r="E19" s="132"/>
      <c r="F19" s="77"/>
      <c r="G19" s="132"/>
      <c r="H19" s="77"/>
      <c r="I19" s="132"/>
      <c r="J19" s="74"/>
    </row>
    <row r="20" spans="2:10" x14ac:dyDescent="0.25">
      <c r="B20" s="93"/>
      <c r="C20" s="131"/>
      <c r="D20" s="77"/>
      <c r="E20" s="132"/>
      <c r="F20" s="77"/>
      <c r="G20" s="132"/>
      <c r="H20" s="77"/>
      <c r="I20" s="132"/>
      <c r="J20" s="74"/>
    </row>
    <row r="21" spans="2:10" x14ac:dyDescent="0.25">
      <c r="B21" s="93"/>
      <c r="C21" s="131"/>
      <c r="D21" s="74"/>
      <c r="E21" s="132"/>
      <c r="F21" s="74"/>
      <c r="G21" s="132"/>
      <c r="H21" s="74"/>
      <c r="I21" s="132"/>
      <c r="J21" s="74"/>
    </row>
    <row r="22" spans="2:10" ht="6.75" customHeight="1" x14ac:dyDescent="0.25">
      <c r="B22" s="93"/>
      <c r="C22" s="133"/>
      <c r="D22" s="93"/>
      <c r="E22" s="87"/>
      <c r="F22" s="93"/>
      <c r="G22" s="87"/>
      <c r="H22" s="93"/>
      <c r="I22" s="87"/>
      <c r="J22" s="93"/>
    </row>
    <row r="23" spans="2:10" x14ac:dyDescent="0.25">
      <c r="C23" s="36"/>
      <c r="D23" s="36"/>
      <c r="E23" s="32"/>
      <c r="F23" s="36"/>
      <c r="G23" s="33"/>
      <c r="H23" s="33"/>
      <c r="I23" s="36"/>
      <c r="J23" s="3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Преглед</vt:lpstr>
      <vt:lpstr>База</vt:lpstr>
      <vt:lpstr>Summary 28.02.2017.</vt:lpstr>
      <vt:lpstr>Приказ по ЈЛС</vt:lpstr>
      <vt:lpstr>Укупни приказ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MDULS</dc:creator>
  <cp:lastModifiedBy>Наташа Соколовић</cp:lastModifiedBy>
  <dcterms:created xsi:type="dcterms:W3CDTF">2017-02-08T13:46:00Z</dcterms:created>
  <dcterms:modified xsi:type="dcterms:W3CDTF">2020-09-11T10:50:17Z</dcterms:modified>
</cp:coreProperties>
</file>